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txsli\Documents\Active Folder\My Games\Current\Paragon Pioneers\"/>
    </mc:Choice>
  </mc:AlternateContent>
  <xr:revisionPtr revIDLastSave="0" documentId="13_ncr:1_{33CB1C94-4102-4EA2-8693-9E66D1AC12AE}" xr6:coauthVersionLast="47" xr6:coauthVersionMax="47" xr10:uidLastSave="{00000000-0000-0000-0000-000000000000}"/>
  <bookViews>
    <workbookView xWindow="44880" yWindow="3720" windowWidth="29040" windowHeight="16440" xr2:uid="{E1921F58-1723-43D5-BE44-5E9909E44D16}"/>
  </bookViews>
  <sheets>
    <sheet name="Island Model" sheetId="6" r:id="rId1"/>
    <sheet name="ModelTemplates" sheetId="26" r:id="rId2"/>
    <sheet name="1000Paragons" sheetId="30" r:id="rId3"/>
    <sheet name="Production" sheetId="1" r:id="rId4"/>
    <sheet name="Battle" sheetId="3" r:id="rId5"/>
    <sheet name="Ships" sheetId="4" r:id="rId6"/>
    <sheet name="IslandSize" sheetId="13" r:id="rId7"/>
    <sheet name="ProductionRatios" sheetId="25" r:id="rId8"/>
    <sheet name="BuildingPatterns" sheetId="31" r:id="rId9"/>
    <sheet name="Convert" sheetId="10" r:id="rId10"/>
  </sheets>
  <definedNames>
    <definedName name="_xlnm._FilterDatabase" localSheetId="3" hidden="1">Production!$AA$9:$AE$9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181" i="31" l="1"/>
  <c r="A177" i="31"/>
  <c r="A165" i="31"/>
  <c r="A152" i="31"/>
  <c r="A139" i="31"/>
  <c r="A127" i="31"/>
  <c r="A116" i="31"/>
  <c r="A119" i="31" s="1"/>
  <c r="A106" i="31"/>
  <c r="A109" i="31" s="1"/>
  <c r="A94" i="31"/>
  <c r="A97" i="31" s="1"/>
  <c r="A83" i="31"/>
  <c r="A86" i="31" s="1"/>
  <c r="A66" i="31"/>
  <c r="A69" i="31" s="1"/>
  <c r="A53" i="31"/>
  <c r="A56" i="31" s="1"/>
  <c r="A41" i="31"/>
  <c r="A44" i="31" s="1"/>
  <c r="O19" i="4"/>
  <c r="O18" i="4"/>
  <c r="O17" i="4"/>
  <c r="O16" i="4"/>
  <c r="O15" i="4"/>
  <c r="O14" i="4"/>
  <c r="O13" i="4"/>
  <c r="O12" i="4"/>
  <c r="O11" i="4"/>
  <c r="P19" i="4"/>
  <c r="R19" i="4"/>
  <c r="S19" i="4" s="1"/>
  <c r="R11" i="4"/>
  <c r="R12" i="4"/>
  <c r="R13" i="4"/>
  <c r="R14" i="4"/>
  <c r="R15" i="4"/>
  <c r="R16" i="4"/>
  <c r="R17" i="4"/>
  <c r="R18" i="4"/>
  <c r="AH101" i="30"/>
  <c r="AE101" i="30"/>
  <c r="AH26" i="30"/>
  <c r="AE26" i="30"/>
  <c r="G323" i="26"/>
  <c r="D323" i="26"/>
  <c r="AH125" i="30"/>
  <c r="AH120" i="30"/>
  <c r="AH116" i="30"/>
  <c r="AH103" i="30"/>
  <c r="AI103" i="30" s="1"/>
  <c r="AH94" i="30"/>
  <c r="AH74" i="30"/>
  <c r="AH65" i="30"/>
  <c r="AI65" i="30" s="1"/>
  <c r="AH55" i="30"/>
  <c r="AH53" i="30"/>
  <c r="AH48" i="30"/>
  <c r="AH46" i="30"/>
  <c r="AI46" i="30" s="1"/>
  <c r="AH42" i="30"/>
  <c r="AH38" i="30"/>
  <c r="AH34" i="30"/>
  <c r="AH32" i="30"/>
  <c r="AI32" i="30" s="1"/>
  <c r="AH28" i="30"/>
  <c r="AD122" i="30"/>
  <c r="AD123" i="30"/>
  <c r="AD124" i="30"/>
  <c r="AD125" i="30"/>
  <c r="AD126" i="30"/>
  <c r="AD127" i="30"/>
  <c r="AD128" i="30"/>
  <c r="AD129" i="30"/>
  <c r="AD130" i="30"/>
  <c r="AD131" i="30"/>
  <c r="AD132" i="30"/>
  <c r="AD133" i="30"/>
  <c r="AD134" i="30"/>
  <c r="AD135" i="30"/>
  <c r="AD136" i="30"/>
  <c r="AD137" i="30"/>
  <c r="AD138" i="30"/>
  <c r="AD139" i="30"/>
  <c r="AD140" i="30"/>
  <c r="AD141" i="30"/>
  <c r="AD142" i="30"/>
  <c r="AD143" i="30"/>
  <c r="AD144" i="30"/>
  <c r="AD145" i="30"/>
  <c r="AD146" i="30"/>
  <c r="AD147" i="30"/>
  <c r="AI122" i="30"/>
  <c r="AI123" i="30"/>
  <c r="AI124" i="30"/>
  <c r="AI126" i="30"/>
  <c r="AI127" i="30"/>
  <c r="AI128" i="30"/>
  <c r="AI129" i="30"/>
  <c r="AI130" i="30"/>
  <c r="AI131" i="30"/>
  <c r="AI132" i="30"/>
  <c r="AI133" i="30"/>
  <c r="AI134" i="30"/>
  <c r="AI135" i="30"/>
  <c r="AI136" i="30"/>
  <c r="AI137" i="30"/>
  <c r="AI138" i="30"/>
  <c r="AI139" i="30"/>
  <c r="AI140" i="30"/>
  <c r="AI141" i="30"/>
  <c r="AI142" i="30"/>
  <c r="AI143" i="30"/>
  <c r="AI144" i="30"/>
  <c r="AI145" i="30"/>
  <c r="AI146" i="30"/>
  <c r="AI147" i="30"/>
  <c r="AJ122" i="30"/>
  <c r="AJ123" i="30"/>
  <c r="AJ124" i="30"/>
  <c r="AJ125" i="30"/>
  <c r="AJ126" i="30"/>
  <c r="AJ127" i="30"/>
  <c r="AJ128" i="30"/>
  <c r="AJ129" i="30"/>
  <c r="AJ130" i="30"/>
  <c r="AJ131" i="30"/>
  <c r="AJ132" i="30"/>
  <c r="AJ133" i="30"/>
  <c r="AJ134" i="30"/>
  <c r="AJ135" i="30"/>
  <c r="AJ136" i="30"/>
  <c r="AJ137" i="30"/>
  <c r="AJ138" i="30"/>
  <c r="AJ139" i="30"/>
  <c r="AJ140" i="30"/>
  <c r="AJ141" i="30"/>
  <c r="AJ142" i="30"/>
  <c r="AJ143" i="30"/>
  <c r="AJ144" i="30"/>
  <c r="AJ145" i="30"/>
  <c r="AJ146" i="30"/>
  <c r="AJ147" i="30"/>
  <c r="AL122" i="30"/>
  <c r="AL123" i="30"/>
  <c r="AL124" i="30"/>
  <c r="AL125" i="30"/>
  <c r="AL126" i="30"/>
  <c r="AL127" i="30"/>
  <c r="AL128" i="30"/>
  <c r="AL129" i="30"/>
  <c r="AL130" i="30"/>
  <c r="AL131" i="30"/>
  <c r="AL132" i="30"/>
  <c r="AL133" i="30"/>
  <c r="AL134" i="30"/>
  <c r="AL135" i="30"/>
  <c r="AL136" i="30"/>
  <c r="AL137" i="30"/>
  <c r="AL138" i="30"/>
  <c r="AL139" i="30"/>
  <c r="AL140" i="30"/>
  <c r="AL141" i="30"/>
  <c r="AL142" i="30"/>
  <c r="AL143" i="30"/>
  <c r="AL144" i="30"/>
  <c r="AL145" i="30"/>
  <c r="AL146" i="30"/>
  <c r="AL147" i="30"/>
  <c r="AN122" i="30"/>
  <c r="AN123" i="30"/>
  <c r="AN124" i="30"/>
  <c r="AN125" i="30"/>
  <c r="AN126" i="30"/>
  <c r="AN127" i="30"/>
  <c r="AN128" i="30"/>
  <c r="AN129" i="30"/>
  <c r="AN130" i="30"/>
  <c r="AN131" i="30"/>
  <c r="AN132" i="30"/>
  <c r="AN133" i="30"/>
  <c r="AN134" i="30"/>
  <c r="AN135" i="30"/>
  <c r="AN136" i="30"/>
  <c r="AN137" i="30"/>
  <c r="AN138" i="30"/>
  <c r="AN139" i="30"/>
  <c r="AN140" i="30"/>
  <c r="AN141" i="30"/>
  <c r="AN142" i="30"/>
  <c r="AN143" i="30"/>
  <c r="AN144" i="30"/>
  <c r="AN145" i="30"/>
  <c r="AN146" i="30"/>
  <c r="AN147" i="30"/>
  <c r="AP122" i="30"/>
  <c r="AP123" i="30"/>
  <c r="AP124" i="30"/>
  <c r="AP126" i="30"/>
  <c r="AP127" i="30"/>
  <c r="AP128" i="30"/>
  <c r="AP130" i="30"/>
  <c r="AP131" i="30"/>
  <c r="AP132" i="30"/>
  <c r="AP134" i="30"/>
  <c r="AP135" i="30"/>
  <c r="AP136" i="30"/>
  <c r="AP138" i="30"/>
  <c r="AP139" i="30"/>
  <c r="AP140" i="30"/>
  <c r="AP142" i="30"/>
  <c r="AP143" i="30"/>
  <c r="AP144" i="30"/>
  <c r="AP146" i="30"/>
  <c r="AP147" i="30"/>
  <c r="AS122" i="30"/>
  <c r="AS123" i="30"/>
  <c r="AS124" i="30"/>
  <c r="AS125" i="30"/>
  <c r="AS126" i="30"/>
  <c r="AS127" i="30"/>
  <c r="AS128" i="30"/>
  <c r="AS129" i="30"/>
  <c r="AU129" i="30" s="1"/>
  <c r="AS130" i="30"/>
  <c r="AS131" i="30"/>
  <c r="AS132" i="30"/>
  <c r="AS133" i="30"/>
  <c r="AU133" i="30" s="1"/>
  <c r="AS134" i="30"/>
  <c r="AS135" i="30"/>
  <c r="AS136" i="30"/>
  <c r="AS137" i="30"/>
  <c r="AU137" i="30" s="1"/>
  <c r="AS138" i="30"/>
  <c r="AS139" i="30"/>
  <c r="AS140" i="30"/>
  <c r="AS141" i="30"/>
  <c r="AU141" i="30" s="1"/>
  <c r="AS142" i="30"/>
  <c r="AS143" i="30"/>
  <c r="AS144" i="30"/>
  <c r="AS145" i="30"/>
  <c r="AU145" i="30" s="1"/>
  <c r="AS146" i="30"/>
  <c r="AS147" i="30"/>
  <c r="AU122" i="30"/>
  <c r="AU123" i="30"/>
  <c r="AU124" i="30"/>
  <c r="AU126" i="30"/>
  <c r="AU127" i="30"/>
  <c r="AU128" i="30"/>
  <c r="AU130" i="30"/>
  <c r="AU131" i="30"/>
  <c r="AU132" i="30"/>
  <c r="AU134" i="30"/>
  <c r="AU135" i="30"/>
  <c r="AU136" i="30"/>
  <c r="AU138" i="30"/>
  <c r="AU139" i="30"/>
  <c r="AU140" i="30"/>
  <c r="AU142" i="30"/>
  <c r="AU143" i="30"/>
  <c r="AU144" i="30"/>
  <c r="AU146" i="30"/>
  <c r="AU147" i="30"/>
  <c r="AX122" i="30"/>
  <c r="AX123" i="30"/>
  <c r="AX124" i="30"/>
  <c r="AX125" i="30"/>
  <c r="AX126" i="30"/>
  <c r="AX127" i="30"/>
  <c r="AX128" i="30"/>
  <c r="AX129" i="30"/>
  <c r="AZ129" i="30" s="1"/>
  <c r="AX130" i="30"/>
  <c r="AX131" i="30"/>
  <c r="AX132" i="30"/>
  <c r="AX133" i="30"/>
  <c r="AZ133" i="30" s="1"/>
  <c r="AX134" i="30"/>
  <c r="AX135" i="30"/>
  <c r="AX136" i="30"/>
  <c r="AX137" i="30"/>
  <c r="AZ137" i="30" s="1"/>
  <c r="AX138" i="30"/>
  <c r="AX139" i="30"/>
  <c r="AX140" i="30"/>
  <c r="AX141" i="30"/>
  <c r="AZ141" i="30" s="1"/>
  <c r="AX142" i="30"/>
  <c r="AX143" i="30"/>
  <c r="AX144" i="30"/>
  <c r="AX145" i="30"/>
  <c r="AZ145" i="30" s="1"/>
  <c r="AX146" i="30"/>
  <c r="AX147" i="30"/>
  <c r="AZ122" i="30"/>
  <c r="AZ123" i="30"/>
  <c r="AZ124" i="30"/>
  <c r="AZ126" i="30"/>
  <c r="AZ127" i="30"/>
  <c r="AZ128" i="30"/>
  <c r="AZ130" i="30"/>
  <c r="AZ131" i="30"/>
  <c r="AZ132" i="30"/>
  <c r="AZ134" i="30"/>
  <c r="AZ135" i="30"/>
  <c r="AZ136" i="30"/>
  <c r="AZ138" i="30"/>
  <c r="AZ139" i="30"/>
  <c r="AZ140" i="30"/>
  <c r="AZ142" i="30"/>
  <c r="AZ143" i="30"/>
  <c r="AZ144" i="30"/>
  <c r="AZ146" i="30"/>
  <c r="AZ147" i="30"/>
  <c r="BC122" i="30"/>
  <c r="BC123" i="30"/>
  <c r="BC124" i="30"/>
  <c r="BC125" i="30"/>
  <c r="BC126" i="30"/>
  <c r="BC127" i="30"/>
  <c r="BC128" i="30"/>
  <c r="BC129" i="30"/>
  <c r="BE129" i="30" s="1"/>
  <c r="BC130" i="30"/>
  <c r="BC131" i="30"/>
  <c r="BC132" i="30"/>
  <c r="BC133" i="30"/>
  <c r="BE133" i="30" s="1"/>
  <c r="BC134" i="30"/>
  <c r="BC135" i="30"/>
  <c r="BC136" i="30"/>
  <c r="BC137" i="30"/>
  <c r="BE137" i="30" s="1"/>
  <c r="BC138" i="30"/>
  <c r="BC139" i="30"/>
  <c r="BC140" i="30"/>
  <c r="BC141" i="30"/>
  <c r="BE141" i="30" s="1"/>
  <c r="BC142" i="30"/>
  <c r="BC143" i="30"/>
  <c r="BC144" i="30"/>
  <c r="BC145" i="30"/>
  <c r="BE145" i="30" s="1"/>
  <c r="BC146" i="30"/>
  <c r="BC147" i="30"/>
  <c r="BE122" i="30"/>
  <c r="BE123" i="30"/>
  <c r="BE124" i="30"/>
  <c r="BE126" i="30"/>
  <c r="BE127" i="30"/>
  <c r="BE128" i="30"/>
  <c r="BE130" i="30"/>
  <c r="BE131" i="30"/>
  <c r="BE132" i="30"/>
  <c r="BE134" i="30"/>
  <c r="BE135" i="30"/>
  <c r="BE136" i="30"/>
  <c r="BE138" i="30"/>
  <c r="BE139" i="30"/>
  <c r="BE140" i="30"/>
  <c r="BE142" i="30"/>
  <c r="BE143" i="30"/>
  <c r="BE144" i="30"/>
  <c r="BE146" i="30"/>
  <c r="BE147" i="30"/>
  <c r="BH122" i="30"/>
  <c r="BJ122" i="30" s="1"/>
  <c r="BH123" i="30"/>
  <c r="BH124" i="30"/>
  <c r="BH125" i="30"/>
  <c r="BH126" i="30"/>
  <c r="BJ126" i="30" s="1"/>
  <c r="BH127" i="30"/>
  <c r="BH128" i="30"/>
  <c r="BH129" i="30"/>
  <c r="BJ129" i="30" s="1"/>
  <c r="BH130" i="30"/>
  <c r="BJ130" i="30" s="1"/>
  <c r="BH131" i="30"/>
  <c r="BH132" i="30"/>
  <c r="BH133" i="30"/>
  <c r="BJ133" i="30" s="1"/>
  <c r="BH134" i="30"/>
  <c r="BJ134" i="30" s="1"/>
  <c r="BH135" i="30"/>
  <c r="BH136" i="30"/>
  <c r="BH137" i="30"/>
  <c r="BJ137" i="30" s="1"/>
  <c r="BH138" i="30"/>
  <c r="BJ138" i="30" s="1"/>
  <c r="BH139" i="30"/>
  <c r="BH140" i="30"/>
  <c r="BH141" i="30"/>
  <c r="BJ141" i="30" s="1"/>
  <c r="BH142" i="30"/>
  <c r="BJ142" i="30" s="1"/>
  <c r="BH143" i="30"/>
  <c r="BH144" i="30"/>
  <c r="BH145" i="30"/>
  <c r="BJ145" i="30" s="1"/>
  <c r="BH146" i="30"/>
  <c r="BJ146" i="30" s="1"/>
  <c r="BH147" i="30"/>
  <c r="BJ123" i="30"/>
  <c r="BJ124" i="30"/>
  <c r="BJ127" i="30"/>
  <c r="BJ128" i="30"/>
  <c r="BJ131" i="30"/>
  <c r="BJ132" i="30"/>
  <c r="BJ135" i="30"/>
  <c r="BJ136" i="30"/>
  <c r="BJ139" i="30"/>
  <c r="BJ140" i="30"/>
  <c r="BJ143" i="30"/>
  <c r="BJ144" i="30"/>
  <c r="BJ147" i="30"/>
  <c r="BM122" i="30"/>
  <c r="BO122" i="30" s="1"/>
  <c r="BM123" i="30"/>
  <c r="BM124" i="30"/>
  <c r="BM125" i="30"/>
  <c r="BM126" i="30"/>
  <c r="BO126" i="30" s="1"/>
  <c r="BM127" i="30"/>
  <c r="BM128" i="30"/>
  <c r="BM129" i="30"/>
  <c r="BO129" i="30" s="1"/>
  <c r="BM130" i="30"/>
  <c r="BO130" i="30" s="1"/>
  <c r="BM131" i="30"/>
  <c r="BM132" i="30"/>
  <c r="BM133" i="30"/>
  <c r="BO133" i="30" s="1"/>
  <c r="BM134" i="30"/>
  <c r="BO134" i="30" s="1"/>
  <c r="BM135" i="30"/>
  <c r="BM136" i="30"/>
  <c r="BM137" i="30"/>
  <c r="BO137" i="30" s="1"/>
  <c r="BM138" i="30"/>
  <c r="BO138" i="30" s="1"/>
  <c r="BM139" i="30"/>
  <c r="BM140" i="30"/>
  <c r="BM141" i="30"/>
  <c r="BO141" i="30" s="1"/>
  <c r="BM142" i="30"/>
  <c r="BO142" i="30" s="1"/>
  <c r="BM143" i="30"/>
  <c r="BM144" i="30"/>
  <c r="BM145" i="30"/>
  <c r="BO145" i="30" s="1"/>
  <c r="BM146" i="30"/>
  <c r="BO146" i="30" s="1"/>
  <c r="BM147" i="30"/>
  <c r="BO123" i="30"/>
  <c r="BO124" i="30"/>
  <c r="BO127" i="30"/>
  <c r="BO128" i="30"/>
  <c r="BO131" i="30"/>
  <c r="BO132" i="30"/>
  <c r="BO135" i="30"/>
  <c r="BO136" i="30"/>
  <c r="BO139" i="30"/>
  <c r="BO140" i="30"/>
  <c r="BO143" i="30"/>
  <c r="BO144" i="30"/>
  <c r="BO147" i="30"/>
  <c r="BR122" i="30"/>
  <c r="BT122" i="30" s="1"/>
  <c r="BR123" i="30"/>
  <c r="BR124" i="30"/>
  <c r="BR125" i="30"/>
  <c r="BR126" i="30"/>
  <c r="BT126" i="30" s="1"/>
  <c r="BR127" i="30"/>
  <c r="BR128" i="30"/>
  <c r="BR129" i="30"/>
  <c r="BT129" i="30" s="1"/>
  <c r="BR130" i="30"/>
  <c r="BR131" i="30"/>
  <c r="BR132" i="30"/>
  <c r="BR133" i="30"/>
  <c r="BT133" i="30" s="1"/>
  <c r="BR134" i="30"/>
  <c r="BR135" i="30"/>
  <c r="BR136" i="30"/>
  <c r="BR137" i="30"/>
  <c r="BT137" i="30" s="1"/>
  <c r="BR138" i="30"/>
  <c r="BT138" i="30" s="1"/>
  <c r="BR139" i="30"/>
  <c r="BR140" i="30"/>
  <c r="BR141" i="30"/>
  <c r="BT141" i="30" s="1"/>
  <c r="BR142" i="30"/>
  <c r="BT142" i="30" s="1"/>
  <c r="BR143" i="30"/>
  <c r="BR144" i="30"/>
  <c r="BR145" i="30"/>
  <c r="BT145" i="30" s="1"/>
  <c r="BR146" i="30"/>
  <c r="BR147" i="30"/>
  <c r="BT123" i="30"/>
  <c r="BT124" i="30"/>
  <c r="BT127" i="30"/>
  <c r="BT128" i="30"/>
  <c r="BT130" i="30"/>
  <c r="BT131" i="30"/>
  <c r="BT132" i="30"/>
  <c r="BT134" i="30"/>
  <c r="BT135" i="30"/>
  <c r="BT136" i="30"/>
  <c r="BT139" i="30"/>
  <c r="BT140" i="30"/>
  <c r="BT143" i="30"/>
  <c r="BT144" i="30"/>
  <c r="BT146" i="30"/>
  <c r="BT147" i="30"/>
  <c r="BW122" i="30"/>
  <c r="BW123" i="30"/>
  <c r="BW124" i="30"/>
  <c r="BY124" i="30" s="1"/>
  <c r="BW125" i="30"/>
  <c r="BW126" i="30"/>
  <c r="BY126" i="30" s="1"/>
  <c r="BW127" i="30"/>
  <c r="BW128" i="30"/>
  <c r="BW129" i="30"/>
  <c r="BY129" i="30" s="1"/>
  <c r="BW130" i="30"/>
  <c r="BW131" i="30"/>
  <c r="BW132" i="30"/>
  <c r="BW133" i="30"/>
  <c r="BW134" i="30"/>
  <c r="BW135" i="30"/>
  <c r="BW136" i="30"/>
  <c r="BW137" i="30"/>
  <c r="BW138" i="30"/>
  <c r="BW139" i="30"/>
  <c r="BW140" i="30"/>
  <c r="BW141" i="30"/>
  <c r="BW142" i="30"/>
  <c r="BW143" i="30"/>
  <c r="BW144" i="30"/>
  <c r="BW145" i="30"/>
  <c r="BW146" i="30"/>
  <c r="BW147" i="30"/>
  <c r="BY122" i="30"/>
  <c r="BY123" i="30"/>
  <c r="BY127" i="30"/>
  <c r="BY128" i="30"/>
  <c r="BY130" i="30"/>
  <c r="BY131" i="30"/>
  <c r="BY132" i="30"/>
  <c r="BY133" i="30"/>
  <c r="BY134" i="30"/>
  <c r="BY135" i="30"/>
  <c r="BY136" i="30"/>
  <c r="BY137" i="30"/>
  <c r="BY138" i="30"/>
  <c r="BY139" i="30"/>
  <c r="BY140" i="30"/>
  <c r="BY141" i="30"/>
  <c r="BY142" i="30"/>
  <c r="BY143" i="30"/>
  <c r="BY144" i="30"/>
  <c r="BY145" i="30"/>
  <c r="BY146" i="30"/>
  <c r="BY147" i="30"/>
  <c r="CB122" i="30"/>
  <c r="CD122" i="30" s="1"/>
  <c r="CB123" i="30"/>
  <c r="CD123" i="30" s="1"/>
  <c r="CB124" i="30"/>
  <c r="CB125" i="30"/>
  <c r="CB126" i="30"/>
  <c r="CD126" i="30" s="1"/>
  <c r="CB127" i="30"/>
  <c r="CD127" i="30" s="1"/>
  <c r="CB128" i="30"/>
  <c r="CB129" i="30"/>
  <c r="CB130" i="30"/>
  <c r="CD130" i="30" s="1"/>
  <c r="CB131" i="30"/>
  <c r="CD131" i="30" s="1"/>
  <c r="CB132" i="30"/>
  <c r="CB133" i="30"/>
  <c r="CB134" i="30"/>
  <c r="CD134" i="30" s="1"/>
  <c r="CB135" i="30"/>
  <c r="CD135" i="30" s="1"/>
  <c r="CB136" i="30"/>
  <c r="CB137" i="30"/>
  <c r="CB138" i="30"/>
  <c r="CD138" i="30" s="1"/>
  <c r="CB139" i="30"/>
  <c r="CD139" i="30" s="1"/>
  <c r="CB140" i="30"/>
  <c r="CB141" i="30"/>
  <c r="CB142" i="30"/>
  <c r="CD142" i="30" s="1"/>
  <c r="CB143" i="30"/>
  <c r="CD143" i="30" s="1"/>
  <c r="CB144" i="30"/>
  <c r="CB145" i="30"/>
  <c r="CB146" i="30"/>
  <c r="CD146" i="30" s="1"/>
  <c r="CB147" i="30"/>
  <c r="CD147" i="30" s="1"/>
  <c r="CD124" i="30"/>
  <c r="CD128" i="30"/>
  <c r="CD129" i="30"/>
  <c r="CD132" i="30"/>
  <c r="CD133" i="30"/>
  <c r="CD136" i="30"/>
  <c r="CD137" i="30"/>
  <c r="CD140" i="30"/>
  <c r="CD141" i="30"/>
  <c r="CD144" i="30"/>
  <c r="CD145" i="30"/>
  <c r="CG122" i="30"/>
  <c r="CI122" i="30" s="1"/>
  <c r="CG123" i="30"/>
  <c r="CI123" i="30" s="1"/>
  <c r="CG124" i="30"/>
  <c r="CG125" i="30"/>
  <c r="CG126" i="30"/>
  <c r="CI126" i="30" s="1"/>
  <c r="CG127" i="30"/>
  <c r="CI127" i="30" s="1"/>
  <c r="CG128" i="30"/>
  <c r="CG129" i="30"/>
  <c r="CG130" i="30"/>
  <c r="CI130" i="30" s="1"/>
  <c r="CG131" i="30"/>
  <c r="CI131" i="30" s="1"/>
  <c r="CG132" i="30"/>
  <c r="CG133" i="30"/>
  <c r="CG134" i="30"/>
  <c r="CI134" i="30" s="1"/>
  <c r="CG135" i="30"/>
  <c r="CI135" i="30" s="1"/>
  <c r="CG136" i="30"/>
  <c r="CG137" i="30"/>
  <c r="CG138" i="30"/>
  <c r="CI138" i="30" s="1"/>
  <c r="CG139" i="30"/>
  <c r="CI139" i="30" s="1"/>
  <c r="CG140" i="30"/>
  <c r="CG141" i="30"/>
  <c r="CG142" i="30"/>
  <c r="CI142" i="30" s="1"/>
  <c r="CG143" i="30"/>
  <c r="CI143" i="30" s="1"/>
  <c r="CG144" i="30"/>
  <c r="CG145" i="30"/>
  <c r="CG146" i="30"/>
  <c r="CI146" i="30" s="1"/>
  <c r="CG147" i="30"/>
  <c r="CI147" i="30" s="1"/>
  <c r="CI124" i="30"/>
  <c r="CI128" i="30"/>
  <c r="CI129" i="30"/>
  <c r="CI132" i="30"/>
  <c r="CI133" i="30"/>
  <c r="CI136" i="30"/>
  <c r="CI137" i="30"/>
  <c r="CI140" i="30"/>
  <c r="CI141" i="30"/>
  <c r="CI144" i="30"/>
  <c r="CI145" i="30"/>
  <c r="CM122" i="30"/>
  <c r="CM123" i="30"/>
  <c r="CM124" i="30"/>
  <c r="CM125" i="30"/>
  <c r="CM126" i="30"/>
  <c r="CM127" i="30"/>
  <c r="CM128" i="30"/>
  <c r="CM129" i="30"/>
  <c r="CM130" i="30"/>
  <c r="CM131" i="30"/>
  <c r="CM132" i="30"/>
  <c r="CM133" i="30"/>
  <c r="CM134" i="30"/>
  <c r="CM135" i="30"/>
  <c r="CM136" i="30"/>
  <c r="CM137" i="30"/>
  <c r="CM138" i="30"/>
  <c r="CM139" i="30"/>
  <c r="CM140" i="30"/>
  <c r="CM141" i="30"/>
  <c r="CM142" i="30"/>
  <c r="CM143" i="30"/>
  <c r="CM144" i="30"/>
  <c r="CM145" i="30"/>
  <c r="CM146" i="30"/>
  <c r="CM147" i="30"/>
  <c r="CO122" i="30"/>
  <c r="CO123" i="30"/>
  <c r="CO124" i="30"/>
  <c r="CO125" i="30"/>
  <c r="CO126" i="30"/>
  <c r="CO127" i="30"/>
  <c r="CO128" i="30"/>
  <c r="CO129" i="30"/>
  <c r="CO130" i="30"/>
  <c r="CO131" i="30"/>
  <c r="CO132" i="30"/>
  <c r="CO133" i="30"/>
  <c r="CO134" i="30"/>
  <c r="CO135" i="30"/>
  <c r="CO136" i="30"/>
  <c r="CO137" i="30"/>
  <c r="CO138" i="30"/>
  <c r="CO139" i="30"/>
  <c r="CO140" i="30"/>
  <c r="CO141" i="30"/>
  <c r="CO142" i="30"/>
  <c r="CO143" i="30"/>
  <c r="CO144" i="30"/>
  <c r="CO145" i="30"/>
  <c r="CO146" i="30"/>
  <c r="CO147" i="30"/>
  <c r="CQ122" i="30"/>
  <c r="CQ123" i="30"/>
  <c r="CQ124" i="30"/>
  <c r="CQ125" i="30"/>
  <c r="CQ126" i="30"/>
  <c r="CQ127" i="30"/>
  <c r="CQ128" i="30"/>
  <c r="CQ129" i="30"/>
  <c r="CQ130" i="30"/>
  <c r="CQ131" i="30"/>
  <c r="CQ132" i="30"/>
  <c r="CQ133" i="30"/>
  <c r="CQ134" i="30"/>
  <c r="CQ135" i="30"/>
  <c r="CQ136" i="30"/>
  <c r="CQ137" i="30"/>
  <c r="CQ138" i="30"/>
  <c r="CQ139" i="30"/>
  <c r="CQ140" i="30"/>
  <c r="CQ141" i="30"/>
  <c r="CQ142" i="30"/>
  <c r="CQ143" i="30"/>
  <c r="CQ144" i="30"/>
  <c r="CQ145" i="30"/>
  <c r="CQ146" i="30"/>
  <c r="CQ147" i="30"/>
  <c r="CS122" i="30"/>
  <c r="CS123" i="30"/>
  <c r="CS124" i="30"/>
  <c r="CS125" i="30"/>
  <c r="CS126" i="30"/>
  <c r="CS127" i="30"/>
  <c r="CS128" i="30"/>
  <c r="CS129" i="30"/>
  <c r="CS130" i="30"/>
  <c r="CS131" i="30"/>
  <c r="CS132" i="30"/>
  <c r="CS133" i="30"/>
  <c r="CS134" i="30"/>
  <c r="CS135" i="30"/>
  <c r="CS136" i="30"/>
  <c r="CS137" i="30"/>
  <c r="CS138" i="30"/>
  <c r="CS139" i="30"/>
  <c r="CS140" i="30"/>
  <c r="CS141" i="30"/>
  <c r="CS142" i="30"/>
  <c r="CS143" i="30"/>
  <c r="CS144" i="30"/>
  <c r="CS145" i="30"/>
  <c r="CS146" i="30"/>
  <c r="CS147" i="30"/>
  <c r="CU122" i="30"/>
  <c r="CU123" i="30"/>
  <c r="CU124" i="30"/>
  <c r="CU125" i="30"/>
  <c r="CU126" i="30"/>
  <c r="CU127" i="30"/>
  <c r="CU128" i="30"/>
  <c r="CU129" i="30"/>
  <c r="CU130" i="30"/>
  <c r="CU131" i="30"/>
  <c r="CU132" i="30"/>
  <c r="CU133" i="30"/>
  <c r="CU134" i="30"/>
  <c r="CU135" i="30"/>
  <c r="CU136" i="30"/>
  <c r="CU137" i="30"/>
  <c r="CU138" i="30"/>
  <c r="CU139" i="30"/>
  <c r="CU140" i="30"/>
  <c r="CU141" i="30"/>
  <c r="CU142" i="30"/>
  <c r="CU143" i="30"/>
  <c r="CU144" i="30"/>
  <c r="CU145" i="30"/>
  <c r="CU146" i="30"/>
  <c r="CU147" i="30"/>
  <c r="CW122" i="30"/>
  <c r="CW123" i="30"/>
  <c r="CW124" i="30"/>
  <c r="CW125" i="30"/>
  <c r="CW126" i="30"/>
  <c r="CW127" i="30"/>
  <c r="CW128" i="30"/>
  <c r="CW129" i="30"/>
  <c r="CW130" i="30"/>
  <c r="CW131" i="30"/>
  <c r="CW132" i="30"/>
  <c r="CW133" i="30"/>
  <c r="CW134" i="30"/>
  <c r="CW135" i="30"/>
  <c r="CW136" i="30"/>
  <c r="CW137" i="30"/>
  <c r="CW138" i="30"/>
  <c r="CW139" i="30"/>
  <c r="CW140" i="30"/>
  <c r="CW141" i="30"/>
  <c r="CW142" i="30"/>
  <c r="CW143" i="30"/>
  <c r="CW144" i="30"/>
  <c r="CW145" i="30"/>
  <c r="CW146" i="30"/>
  <c r="CW147" i="30"/>
  <c r="CY122" i="30"/>
  <c r="CY123" i="30"/>
  <c r="CY124" i="30"/>
  <c r="CY125" i="30"/>
  <c r="CY126" i="30"/>
  <c r="CY127" i="30"/>
  <c r="CY128" i="30"/>
  <c r="CY129" i="30"/>
  <c r="CY130" i="30"/>
  <c r="CY131" i="30"/>
  <c r="CY132" i="30"/>
  <c r="CY133" i="30"/>
  <c r="CY134" i="30"/>
  <c r="CY135" i="30"/>
  <c r="CY136" i="30"/>
  <c r="CY137" i="30"/>
  <c r="CY138" i="30"/>
  <c r="CY139" i="30"/>
  <c r="CY140" i="30"/>
  <c r="CY141" i="30"/>
  <c r="CY142" i="30"/>
  <c r="CY143" i="30"/>
  <c r="CY144" i="30"/>
  <c r="CY145" i="30"/>
  <c r="CY146" i="30"/>
  <c r="CY147" i="30"/>
  <c r="DA122" i="30"/>
  <c r="DA123" i="30"/>
  <c r="DA124" i="30"/>
  <c r="DA125" i="30"/>
  <c r="DA126" i="30"/>
  <c r="DA127" i="30"/>
  <c r="DA128" i="30"/>
  <c r="DA129" i="30"/>
  <c r="DA130" i="30"/>
  <c r="DA131" i="30"/>
  <c r="DA132" i="30"/>
  <c r="DA133" i="30"/>
  <c r="DA134" i="30"/>
  <c r="DA135" i="30"/>
  <c r="DA136" i="30"/>
  <c r="DA137" i="30"/>
  <c r="DA138" i="30"/>
  <c r="DA139" i="30"/>
  <c r="DA140" i="30"/>
  <c r="DA141" i="30"/>
  <c r="DA142" i="30"/>
  <c r="DA143" i="30"/>
  <c r="DA144" i="30"/>
  <c r="DA145" i="30"/>
  <c r="DA146" i="30"/>
  <c r="DA147" i="30"/>
  <c r="DC122" i="30"/>
  <c r="DC123" i="30"/>
  <c r="DC124" i="30"/>
  <c r="DC125" i="30"/>
  <c r="DC126" i="30"/>
  <c r="DC127" i="30"/>
  <c r="DC128" i="30"/>
  <c r="DC129" i="30"/>
  <c r="DC130" i="30"/>
  <c r="DC131" i="30"/>
  <c r="DC132" i="30"/>
  <c r="DC133" i="30"/>
  <c r="DC134" i="30"/>
  <c r="DC135" i="30"/>
  <c r="DC136" i="30"/>
  <c r="DC137" i="30"/>
  <c r="DC138" i="30"/>
  <c r="DC139" i="30"/>
  <c r="DC140" i="30"/>
  <c r="DC141" i="30"/>
  <c r="DC142" i="30"/>
  <c r="DC143" i="30"/>
  <c r="DC144" i="30"/>
  <c r="DC145" i="30"/>
  <c r="DC146" i="30"/>
  <c r="DC147" i="30"/>
  <c r="DE122" i="30"/>
  <c r="DE123" i="30"/>
  <c r="DE124" i="30"/>
  <c r="DE125" i="30"/>
  <c r="DE126" i="30"/>
  <c r="DE127" i="30"/>
  <c r="DE128" i="30"/>
  <c r="DE129" i="30"/>
  <c r="DE130" i="30"/>
  <c r="DE131" i="30"/>
  <c r="DE132" i="30"/>
  <c r="DE133" i="30"/>
  <c r="DE134" i="30"/>
  <c r="DE135" i="30"/>
  <c r="DE136" i="30"/>
  <c r="DE137" i="30"/>
  <c r="DE138" i="30"/>
  <c r="DE139" i="30"/>
  <c r="DE140" i="30"/>
  <c r="DE141" i="30"/>
  <c r="DE142" i="30"/>
  <c r="DE143" i="30"/>
  <c r="DE144" i="30"/>
  <c r="DE145" i="30"/>
  <c r="DE146" i="30"/>
  <c r="DG122" i="30"/>
  <c r="DG124" i="30"/>
  <c r="DG125" i="30"/>
  <c r="DG126" i="30"/>
  <c r="DG128" i="30"/>
  <c r="DG129" i="30"/>
  <c r="DG130" i="30"/>
  <c r="DG132" i="30"/>
  <c r="DG133" i="30"/>
  <c r="DG134" i="30"/>
  <c r="DG136" i="30"/>
  <c r="DG137" i="30"/>
  <c r="DG138" i="30"/>
  <c r="DG140" i="30"/>
  <c r="DG141" i="30"/>
  <c r="DG142" i="30"/>
  <c r="DG144" i="30"/>
  <c r="DG145" i="30"/>
  <c r="DG146" i="30"/>
  <c r="AE125" i="30"/>
  <c r="AE120" i="30"/>
  <c r="AE116" i="30"/>
  <c r="AE103" i="30"/>
  <c r="AE94" i="30"/>
  <c r="AE74" i="30"/>
  <c r="AE65" i="30"/>
  <c r="AE55" i="30"/>
  <c r="AE53" i="30"/>
  <c r="AE48" i="30"/>
  <c r="AE46" i="30"/>
  <c r="AE42" i="30"/>
  <c r="AE38" i="30"/>
  <c r="AE34" i="30"/>
  <c r="AE32" i="30"/>
  <c r="AE28" i="30"/>
  <c r="B16" i="30"/>
  <c r="B15" i="30"/>
  <c r="DE121" i="30"/>
  <c r="CS121" i="30"/>
  <c r="CG121" i="30"/>
  <c r="CB121" i="30"/>
  <c r="BW121" i="30"/>
  <c r="BR121" i="30"/>
  <c r="DA121" i="30" s="1"/>
  <c r="BM121" i="30"/>
  <c r="BH121" i="30"/>
  <c r="CW121" i="30" s="1"/>
  <c r="BC121" i="30"/>
  <c r="AX121" i="30"/>
  <c r="AS121" i="30"/>
  <c r="AN121" i="30"/>
  <c r="CO121" i="30" s="1"/>
  <c r="AL121" i="30"/>
  <c r="AJ121" i="30"/>
  <c r="CM121" i="30" s="1"/>
  <c r="AI121" i="30"/>
  <c r="AD121" i="30"/>
  <c r="CG120" i="30"/>
  <c r="CB120" i="30"/>
  <c r="BW120" i="30"/>
  <c r="BR120" i="30"/>
  <c r="BM120" i="30"/>
  <c r="BH120" i="30"/>
  <c r="BC120" i="30"/>
  <c r="AX120" i="30"/>
  <c r="AS120" i="30"/>
  <c r="AN120" i="30"/>
  <c r="AL120" i="30"/>
  <c r="AJ120" i="30"/>
  <c r="CM120" i="30" s="1"/>
  <c r="AI120" i="30"/>
  <c r="AD120" i="30"/>
  <c r="DE119" i="30"/>
  <c r="DA119" i="30"/>
  <c r="CU119" i="30"/>
  <c r="CM119" i="30"/>
  <c r="CG119" i="30"/>
  <c r="DG119" i="30" s="1"/>
  <c r="CB119" i="30"/>
  <c r="CD119" i="30" s="1"/>
  <c r="BY119" i="30"/>
  <c r="BW119" i="30"/>
  <c r="DC119" i="30" s="1"/>
  <c r="BR119" i="30"/>
  <c r="BT119" i="30" s="1"/>
  <c r="BM119" i="30"/>
  <c r="BH119" i="30"/>
  <c r="BJ119" i="30" s="1"/>
  <c r="BE119" i="30"/>
  <c r="BC119" i="30"/>
  <c r="AX119" i="30"/>
  <c r="AS119" i="30"/>
  <c r="CQ119" i="30" s="1"/>
  <c r="AN119" i="30"/>
  <c r="AL119" i="30"/>
  <c r="AJ119" i="30"/>
  <c r="AI119" i="30"/>
  <c r="AD119" i="30"/>
  <c r="DE118" i="30"/>
  <c r="DA118" i="30"/>
  <c r="CS118" i="30"/>
  <c r="CO118" i="30"/>
  <c r="CG118" i="30"/>
  <c r="DG118" i="30" s="1"/>
  <c r="CB118" i="30"/>
  <c r="CD118" i="30" s="1"/>
  <c r="BW118" i="30"/>
  <c r="DC118" i="30" s="1"/>
  <c r="BR118" i="30"/>
  <c r="BT118" i="30" s="1"/>
  <c r="BM118" i="30"/>
  <c r="CY118" i="30" s="1"/>
  <c r="BH118" i="30"/>
  <c r="BJ118" i="30" s="1"/>
  <c r="BE118" i="30"/>
  <c r="BC118" i="30"/>
  <c r="CU118" i="30" s="1"/>
  <c r="AZ118" i="30"/>
  <c r="AX118" i="30"/>
  <c r="AU118" i="30"/>
  <c r="AS118" i="30"/>
  <c r="CQ118" i="30" s="1"/>
  <c r="AP118" i="30"/>
  <c r="AN118" i="30"/>
  <c r="AL118" i="30"/>
  <c r="AJ118" i="30"/>
  <c r="CM118" i="30" s="1"/>
  <c r="AI118" i="30"/>
  <c r="AD118" i="30"/>
  <c r="CG117" i="30"/>
  <c r="CB117" i="30"/>
  <c r="BW117" i="30"/>
  <c r="BR117" i="30"/>
  <c r="DA117" i="30" s="1"/>
  <c r="BM117" i="30"/>
  <c r="BH117" i="30"/>
  <c r="BC117" i="30"/>
  <c r="AX117" i="30"/>
  <c r="CS117" i="30" s="1"/>
  <c r="AS117" i="30"/>
  <c r="AN117" i="30"/>
  <c r="AL117" i="30"/>
  <c r="AJ117" i="30"/>
  <c r="CM117" i="30" s="1"/>
  <c r="AI117" i="30"/>
  <c r="AD117" i="30"/>
  <c r="DG116" i="30"/>
  <c r="CY116" i="30"/>
  <c r="CI116" i="30"/>
  <c r="CG116" i="30"/>
  <c r="CB116" i="30"/>
  <c r="DE116" i="30" s="1"/>
  <c r="BW116" i="30"/>
  <c r="DC116" i="30" s="1"/>
  <c r="BR116" i="30"/>
  <c r="BO116" i="30"/>
  <c r="BM116" i="30"/>
  <c r="BH116" i="30"/>
  <c r="CW116" i="30" s="1"/>
  <c r="BC116" i="30"/>
  <c r="CU116" i="30" s="1"/>
  <c r="AX116" i="30"/>
  <c r="AU116" i="30"/>
  <c r="AS116" i="30"/>
  <c r="CQ116" i="30" s="1"/>
  <c r="AP116" i="30"/>
  <c r="AN116" i="30"/>
  <c r="CO116" i="30" s="1"/>
  <c r="AL116" i="30"/>
  <c r="AJ116" i="30"/>
  <c r="CM116" i="30" s="1"/>
  <c r="AI116" i="30"/>
  <c r="AD116" i="30"/>
  <c r="CG115" i="30"/>
  <c r="CB115" i="30"/>
  <c r="BW115" i="30"/>
  <c r="BR115" i="30"/>
  <c r="BM115" i="30"/>
  <c r="BH115" i="30"/>
  <c r="BC115" i="30"/>
  <c r="AX115" i="30"/>
  <c r="AS115" i="30"/>
  <c r="AN115" i="30"/>
  <c r="AL115" i="30"/>
  <c r="AJ115" i="30"/>
  <c r="CM115" i="30" s="1"/>
  <c r="AI115" i="30"/>
  <c r="AD115" i="30"/>
  <c r="DG114" i="30"/>
  <c r="CQ114" i="30"/>
  <c r="CG114" i="30"/>
  <c r="CI114" i="30" s="1"/>
  <c r="CB114" i="30"/>
  <c r="BW114" i="30"/>
  <c r="BY114" i="30" s="1"/>
  <c r="BR114" i="30"/>
  <c r="BM114" i="30"/>
  <c r="BO114" i="30" s="1"/>
  <c r="BH114" i="30"/>
  <c r="BC114" i="30"/>
  <c r="BE114" i="30" s="1"/>
  <c r="AX114" i="30"/>
  <c r="AS114" i="30"/>
  <c r="AU114" i="30" s="1"/>
  <c r="AN114" i="30"/>
  <c r="AL114" i="30"/>
  <c r="AJ114" i="30"/>
  <c r="CM114" i="30" s="1"/>
  <c r="AI114" i="30"/>
  <c r="AD114" i="30"/>
  <c r="CG113" i="30"/>
  <c r="CB113" i="30"/>
  <c r="BW113" i="30"/>
  <c r="BR113" i="30"/>
  <c r="BM113" i="30"/>
  <c r="BJ113" i="30"/>
  <c r="BH113" i="30"/>
  <c r="CW113" i="30" s="1"/>
  <c r="BE113" i="30"/>
  <c r="BC113" i="30"/>
  <c r="CU113" i="30" s="1"/>
  <c r="AZ113" i="30"/>
  <c r="AX113" i="30"/>
  <c r="CS113" i="30" s="1"/>
  <c r="AS113" i="30"/>
  <c r="AN113" i="30"/>
  <c r="AP113" i="30" s="1"/>
  <c r="AL113" i="30"/>
  <c r="AJ113" i="30"/>
  <c r="CM113" i="30" s="1"/>
  <c r="AI113" i="30"/>
  <c r="AD113" i="30"/>
  <c r="CG112" i="30"/>
  <c r="CB112" i="30"/>
  <c r="BW112" i="30"/>
  <c r="DC112" i="30" s="1"/>
  <c r="BR112" i="30"/>
  <c r="BO112" i="30"/>
  <c r="BM112" i="30"/>
  <c r="CY112" i="30" s="1"/>
  <c r="BJ112" i="30"/>
  <c r="BH112" i="30"/>
  <c r="CW112" i="30" s="1"/>
  <c r="BE112" i="30"/>
  <c r="BC112" i="30"/>
  <c r="CU112" i="30" s="1"/>
  <c r="AZ112" i="30"/>
  <c r="AX112" i="30"/>
  <c r="CS112" i="30" s="1"/>
  <c r="AU112" i="30"/>
  <c r="AS112" i="30"/>
  <c r="CQ112" i="30" s="1"/>
  <c r="AP112" i="30"/>
  <c r="AN112" i="30"/>
  <c r="CO112" i="30" s="1"/>
  <c r="AL112" i="30"/>
  <c r="AJ112" i="30"/>
  <c r="CM112" i="30" s="1"/>
  <c r="AI112" i="30"/>
  <c r="AD112" i="30"/>
  <c r="DC111" i="30"/>
  <c r="CU111" i="30"/>
  <c r="CM111" i="30"/>
  <c r="CG111" i="30"/>
  <c r="CI111" i="30" s="1"/>
  <c r="CB111" i="30"/>
  <c r="DE111" i="30" s="1"/>
  <c r="BW111" i="30"/>
  <c r="BY111" i="30" s="1"/>
  <c r="BR111" i="30"/>
  <c r="DA111" i="30" s="1"/>
  <c r="BM111" i="30"/>
  <c r="BO111" i="30" s="1"/>
  <c r="BH111" i="30"/>
  <c r="CW111" i="30" s="1"/>
  <c r="BC111" i="30"/>
  <c r="BE111" i="30" s="1"/>
  <c r="AX111" i="30"/>
  <c r="CS111" i="30" s="1"/>
  <c r="AS111" i="30"/>
  <c r="AU111" i="30" s="1"/>
  <c r="AN111" i="30"/>
  <c r="CO111" i="30" s="1"/>
  <c r="AL111" i="30"/>
  <c r="AJ111" i="30"/>
  <c r="AI111" i="30"/>
  <c r="AD111" i="30"/>
  <c r="CG110" i="30"/>
  <c r="CB110" i="30"/>
  <c r="BW110" i="30"/>
  <c r="BR110" i="30"/>
  <c r="BM110" i="30"/>
  <c r="BH110" i="30"/>
  <c r="BC110" i="30"/>
  <c r="AX110" i="30"/>
  <c r="AS110" i="30"/>
  <c r="AN110" i="30"/>
  <c r="AL110" i="30"/>
  <c r="AJ110" i="30"/>
  <c r="CM110" i="30" s="1"/>
  <c r="AI110" i="30"/>
  <c r="AD110" i="30"/>
  <c r="DE109" i="30"/>
  <c r="DC109" i="30"/>
  <c r="CY109" i="30"/>
  <c r="CQ109" i="30"/>
  <c r="CI109" i="30"/>
  <c r="CG109" i="30"/>
  <c r="DG109" i="30" s="1"/>
  <c r="CD109" i="30"/>
  <c r="CB109" i="30"/>
  <c r="BY109" i="30"/>
  <c r="BW109" i="30"/>
  <c r="BT109" i="30"/>
  <c r="BR109" i="30"/>
  <c r="DA109" i="30" s="1"/>
  <c r="BO109" i="30"/>
  <c r="BM109" i="30"/>
  <c r="BJ109" i="30"/>
  <c r="BH109" i="30"/>
  <c r="CW109" i="30" s="1"/>
  <c r="BE109" i="30"/>
  <c r="BC109" i="30"/>
  <c r="CU109" i="30" s="1"/>
  <c r="AZ109" i="30"/>
  <c r="AX109" i="30"/>
  <c r="CS109" i="30" s="1"/>
  <c r="AU109" i="30"/>
  <c r="AS109" i="30"/>
  <c r="AP109" i="30"/>
  <c r="AN109" i="30"/>
  <c r="CO109" i="30" s="1"/>
  <c r="AL109" i="30"/>
  <c r="AJ109" i="30"/>
  <c r="CM109" i="30" s="1"/>
  <c r="AI109" i="30"/>
  <c r="AD109" i="30"/>
  <c r="DG108" i="30"/>
  <c r="CI108" i="30"/>
  <c r="CG108" i="30"/>
  <c r="CD108" i="30"/>
  <c r="CB108" i="30"/>
  <c r="DE108" i="30" s="1"/>
  <c r="BY108" i="30"/>
  <c r="BW108" i="30"/>
  <c r="DC108" i="30" s="1"/>
  <c r="BT108" i="30"/>
  <c r="BR108" i="30"/>
  <c r="DA108" i="30" s="1"/>
  <c r="BO108" i="30"/>
  <c r="BM108" i="30"/>
  <c r="CY108" i="30" s="1"/>
  <c r="BJ108" i="30"/>
  <c r="BH108" i="30"/>
  <c r="CW108" i="30" s="1"/>
  <c r="BE108" i="30"/>
  <c r="BC108" i="30"/>
  <c r="CU108" i="30" s="1"/>
  <c r="AZ108" i="30"/>
  <c r="AX108" i="30"/>
  <c r="CS108" i="30" s="1"/>
  <c r="AU108" i="30"/>
  <c r="AS108" i="30"/>
  <c r="CQ108" i="30" s="1"/>
  <c r="AP108" i="30"/>
  <c r="AN108" i="30"/>
  <c r="CO108" i="30" s="1"/>
  <c r="AL108" i="30"/>
  <c r="AJ108" i="30"/>
  <c r="CM108" i="30" s="1"/>
  <c r="AI108" i="30"/>
  <c r="AD108" i="30"/>
  <c r="DG107" i="30"/>
  <c r="DC107" i="30"/>
  <c r="CY107" i="30"/>
  <c r="CU107" i="30"/>
  <c r="CQ107" i="30"/>
  <c r="CI107" i="30"/>
  <c r="CG107" i="30"/>
  <c r="CD107" i="30"/>
  <c r="CB107" i="30"/>
  <c r="DE107" i="30" s="1"/>
  <c r="BY107" i="30"/>
  <c r="BW107" i="30"/>
  <c r="BT107" i="30"/>
  <c r="BR107" i="30"/>
  <c r="DA107" i="30" s="1"/>
  <c r="BO107" i="30"/>
  <c r="BM107" i="30"/>
  <c r="BJ107" i="30"/>
  <c r="BH107" i="30"/>
  <c r="CW107" i="30" s="1"/>
  <c r="BE107" i="30"/>
  <c r="BC107" i="30"/>
  <c r="AZ107" i="30"/>
  <c r="AX107" i="30"/>
  <c r="CS107" i="30" s="1"/>
  <c r="AU107" i="30"/>
  <c r="AS107" i="30"/>
  <c r="AP107" i="30"/>
  <c r="AN107" i="30"/>
  <c r="CO107" i="30" s="1"/>
  <c r="AL107" i="30"/>
  <c r="AJ107" i="30"/>
  <c r="CM107" i="30" s="1"/>
  <c r="AI107" i="30"/>
  <c r="AD107" i="30"/>
  <c r="CG106" i="30"/>
  <c r="CB106" i="30"/>
  <c r="BW106" i="30"/>
  <c r="BR106" i="30"/>
  <c r="BM106" i="30"/>
  <c r="BH106" i="30"/>
  <c r="BC106" i="30"/>
  <c r="AX106" i="30"/>
  <c r="AS106" i="30"/>
  <c r="AN106" i="30"/>
  <c r="AL106" i="30"/>
  <c r="AJ106" i="30"/>
  <c r="CM106" i="30" s="1"/>
  <c r="AI106" i="30"/>
  <c r="AD106" i="30"/>
  <c r="DE105" i="30"/>
  <c r="CS105" i="30"/>
  <c r="CG105" i="30"/>
  <c r="CB105" i="30"/>
  <c r="CD105" i="30" s="1"/>
  <c r="BW105" i="30"/>
  <c r="BT105" i="30"/>
  <c r="BR105" i="30"/>
  <c r="DA105" i="30" s="1"/>
  <c r="BM105" i="30"/>
  <c r="BH105" i="30"/>
  <c r="BJ105" i="30" s="1"/>
  <c r="BC105" i="30"/>
  <c r="AZ105" i="30"/>
  <c r="AX105" i="30"/>
  <c r="AS105" i="30"/>
  <c r="AN105" i="30"/>
  <c r="AP105" i="30" s="1"/>
  <c r="AL105" i="30"/>
  <c r="AJ105" i="30"/>
  <c r="CM105" i="30" s="1"/>
  <c r="AI105" i="30"/>
  <c r="AD105" i="30"/>
  <c r="CG104" i="30"/>
  <c r="CI104" i="30" s="1"/>
  <c r="CB104" i="30"/>
  <c r="CD104" i="30" s="1"/>
  <c r="BW104" i="30"/>
  <c r="DC104" i="30" s="1"/>
  <c r="BR104" i="30"/>
  <c r="DA104" i="30" s="1"/>
  <c r="BM104" i="30"/>
  <c r="BO104" i="30" s="1"/>
  <c r="BH104" i="30"/>
  <c r="BJ104" i="30" s="1"/>
  <c r="BC104" i="30"/>
  <c r="CU104" i="30" s="1"/>
  <c r="AX104" i="30"/>
  <c r="CS104" i="30" s="1"/>
  <c r="AS104" i="30"/>
  <c r="AU104" i="30" s="1"/>
  <c r="AN104" i="30"/>
  <c r="AP104" i="30" s="1"/>
  <c r="AL104" i="30"/>
  <c r="AJ104" i="30"/>
  <c r="CM104" i="30" s="1"/>
  <c r="AI104" i="30"/>
  <c r="AD104" i="30"/>
  <c r="CG103" i="30"/>
  <c r="CB103" i="30"/>
  <c r="BW103" i="30"/>
  <c r="BR103" i="30"/>
  <c r="BM103" i="30"/>
  <c r="BH103" i="30"/>
  <c r="BC103" i="30"/>
  <c r="AX103" i="30"/>
  <c r="AS103" i="30"/>
  <c r="AN103" i="30"/>
  <c r="AL103" i="30"/>
  <c r="AJ103" i="30"/>
  <c r="CM103" i="30" s="1"/>
  <c r="AD103" i="30"/>
  <c r="DE102" i="30"/>
  <c r="DA102" i="30"/>
  <c r="CW102" i="30"/>
  <c r="CS102" i="30"/>
  <c r="CO102" i="30"/>
  <c r="CI102" i="30"/>
  <c r="CG102" i="30"/>
  <c r="DG102" i="30" s="1"/>
  <c r="CD102" i="30"/>
  <c r="CB102" i="30"/>
  <c r="BY102" i="30"/>
  <c r="BW102" i="30"/>
  <c r="DC102" i="30" s="1"/>
  <c r="BT102" i="30"/>
  <c r="BR102" i="30"/>
  <c r="BO102" i="30"/>
  <c r="BM102" i="30"/>
  <c r="CY102" i="30" s="1"/>
  <c r="BJ102" i="30"/>
  <c r="BH102" i="30"/>
  <c r="BE102" i="30"/>
  <c r="BC102" i="30"/>
  <c r="CU102" i="30" s="1"/>
  <c r="AZ102" i="30"/>
  <c r="AX102" i="30"/>
  <c r="AU102" i="30"/>
  <c r="AS102" i="30"/>
  <c r="CQ102" i="30" s="1"/>
  <c r="AP102" i="30"/>
  <c r="AN102" i="30"/>
  <c r="AL102" i="30"/>
  <c r="AJ102" i="30"/>
  <c r="CM102" i="30" s="1"/>
  <c r="AI102" i="30"/>
  <c r="AD102" i="30"/>
  <c r="CG101" i="30"/>
  <c r="DG101" i="30" s="1"/>
  <c r="CB101" i="30"/>
  <c r="CD101" i="30" s="1"/>
  <c r="BW101" i="30"/>
  <c r="DC101" i="30" s="1"/>
  <c r="BR101" i="30"/>
  <c r="BT101" i="30" s="1"/>
  <c r="BM101" i="30"/>
  <c r="CY101" i="30" s="1"/>
  <c r="BH101" i="30"/>
  <c r="BJ101" i="30" s="1"/>
  <c r="BC101" i="30"/>
  <c r="CU101" i="30" s="1"/>
  <c r="AX101" i="30"/>
  <c r="AZ101" i="30" s="1"/>
  <c r="AS101" i="30"/>
  <c r="CQ101" i="30" s="1"/>
  <c r="AN101" i="30"/>
  <c r="AP101" i="30" s="1"/>
  <c r="AL101" i="30"/>
  <c r="AJ101" i="30"/>
  <c r="CM101" i="30" s="1"/>
  <c r="AI101" i="30"/>
  <c r="AD101" i="30"/>
  <c r="DG100" i="30"/>
  <c r="DC100" i="30"/>
  <c r="CY100" i="30"/>
  <c r="CS100" i="30"/>
  <c r="CI100" i="30"/>
  <c r="CG100" i="30"/>
  <c r="CD100" i="30"/>
  <c r="CB100" i="30"/>
  <c r="DE100" i="30" s="1"/>
  <c r="BY100" i="30"/>
  <c r="BW100" i="30"/>
  <c r="BT100" i="30"/>
  <c r="BR100" i="30"/>
  <c r="DA100" i="30" s="1"/>
  <c r="BO100" i="30"/>
  <c r="BM100" i="30"/>
  <c r="BJ100" i="30"/>
  <c r="BH100" i="30"/>
  <c r="CW100" i="30" s="1"/>
  <c r="BE100" i="30"/>
  <c r="BC100" i="30"/>
  <c r="AZ100" i="30"/>
  <c r="AX100" i="30"/>
  <c r="AU100" i="30"/>
  <c r="AS100" i="30"/>
  <c r="AP100" i="30"/>
  <c r="AN100" i="30"/>
  <c r="CO100" i="30" s="1"/>
  <c r="AL100" i="30"/>
  <c r="AJ100" i="30"/>
  <c r="CM100" i="30" s="1"/>
  <c r="AI100" i="30"/>
  <c r="AD100" i="30"/>
  <c r="DC99" i="30"/>
  <c r="CM99" i="30"/>
  <c r="CG99" i="30"/>
  <c r="DG99" i="30" s="1"/>
  <c r="CB99" i="30"/>
  <c r="BW99" i="30"/>
  <c r="BY99" i="30" s="1"/>
  <c r="BR99" i="30"/>
  <c r="DA99" i="30" s="1"/>
  <c r="BM99" i="30"/>
  <c r="CY99" i="30" s="1"/>
  <c r="BH99" i="30"/>
  <c r="BC99" i="30"/>
  <c r="BE99" i="30" s="1"/>
  <c r="AX99" i="30"/>
  <c r="CS99" i="30" s="1"/>
  <c r="AS99" i="30"/>
  <c r="CQ99" i="30" s="1"/>
  <c r="AN99" i="30"/>
  <c r="AL99" i="30"/>
  <c r="AJ99" i="30"/>
  <c r="AI99" i="30"/>
  <c r="AD99" i="30"/>
  <c r="DC98" i="30"/>
  <c r="CU98" i="30"/>
  <c r="CM98" i="30"/>
  <c r="CG98" i="30"/>
  <c r="CI98" i="30" s="1"/>
  <c r="CB98" i="30"/>
  <c r="DE98" i="30" s="1"/>
  <c r="BW98" i="30"/>
  <c r="BY98" i="30" s="1"/>
  <c r="BR98" i="30"/>
  <c r="DA98" i="30" s="1"/>
  <c r="BM98" i="30"/>
  <c r="BO98" i="30" s="1"/>
  <c r="BH98" i="30"/>
  <c r="CW98" i="30" s="1"/>
  <c r="BC98" i="30"/>
  <c r="BE98" i="30" s="1"/>
  <c r="AX98" i="30"/>
  <c r="CS98" i="30" s="1"/>
  <c r="AS98" i="30"/>
  <c r="AU98" i="30" s="1"/>
  <c r="AN98" i="30"/>
  <c r="CO98" i="30" s="1"/>
  <c r="AL98" i="30"/>
  <c r="AJ98" i="30"/>
  <c r="AI98" i="30"/>
  <c r="AD98" i="30"/>
  <c r="CG97" i="30"/>
  <c r="CB97" i="30"/>
  <c r="CD97" i="30" s="1"/>
  <c r="BW97" i="30"/>
  <c r="BR97" i="30"/>
  <c r="BT97" i="30" s="1"/>
  <c r="BM97" i="30"/>
  <c r="BH97" i="30"/>
  <c r="BJ97" i="30" s="1"/>
  <c r="BC97" i="30"/>
  <c r="AX97" i="30"/>
  <c r="AZ97" i="30" s="1"/>
  <c r="AS97" i="30"/>
  <c r="AN97" i="30"/>
  <c r="AP97" i="30" s="1"/>
  <c r="AL97" i="30"/>
  <c r="AJ97" i="30"/>
  <c r="CM97" i="30" s="1"/>
  <c r="AI97" i="30"/>
  <c r="AD97" i="30"/>
  <c r="DC96" i="30"/>
  <c r="CY96" i="30"/>
  <c r="CI96" i="30"/>
  <c r="CG96" i="30"/>
  <c r="CB96" i="30"/>
  <c r="DE96" i="30" s="1"/>
  <c r="BW96" i="30"/>
  <c r="BT96" i="30"/>
  <c r="BR96" i="30"/>
  <c r="DA96" i="30" s="1"/>
  <c r="BO96" i="30"/>
  <c r="BM96" i="30"/>
  <c r="BH96" i="30"/>
  <c r="BC96" i="30"/>
  <c r="AZ96" i="30"/>
  <c r="AX96" i="30"/>
  <c r="CS96" i="30" s="1"/>
  <c r="AU96" i="30"/>
  <c r="AS96" i="30"/>
  <c r="AN96" i="30"/>
  <c r="AL96" i="30"/>
  <c r="AJ96" i="30"/>
  <c r="CM96" i="30" s="1"/>
  <c r="AI96" i="30"/>
  <c r="AD96" i="30"/>
  <c r="CG95" i="30"/>
  <c r="CB95" i="30"/>
  <c r="BW95" i="30"/>
  <c r="BR95" i="30"/>
  <c r="BM95" i="30"/>
  <c r="BH95" i="30"/>
  <c r="BC95" i="30"/>
  <c r="AX95" i="30"/>
  <c r="AS95" i="30"/>
  <c r="AN95" i="30"/>
  <c r="AL95" i="30"/>
  <c r="AJ95" i="30"/>
  <c r="CM95" i="30" s="1"/>
  <c r="AI95" i="30"/>
  <c r="AD95" i="30"/>
  <c r="DC94" i="30"/>
  <c r="CU94" i="30"/>
  <c r="CI94" i="30"/>
  <c r="CG94" i="30"/>
  <c r="DG94" i="30" s="1"/>
  <c r="CD94" i="30"/>
  <c r="CB94" i="30"/>
  <c r="BY94" i="30"/>
  <c r="BW94" i="30"/>
  <c r="BT94" i="30"/>
  <c r="BR94" i="30"/>
  <c r="BO94" i="30"/>
  <c r="BM94" i="30"/>
  <c r="CY94" i="30" s="1"/>
  <c r="BJ94" i="30"/>
  <c r="BH94" i="30"/>
  <c r="BE94" i="30"/>
  <c r="BC94" i="30"/>
  <c r="AZ94" i="30"/>
  <c r="AX94" i="30"/>
  <c r="AU94" i="30"/>
  <c r="AS94" i="30"/>
  <c r="CQ94" i="30" s="1"/>
  <c r="AP94" i="30"/>
  <c r="AN94" i="30"/>
  <c r="AL94" i="30"/>
  <c r="AJ94" i="30"/>
  <c r="CM94" i="30" s="1"/>
  <c r="AI94" i="30"/>
  <c r="AD94" i="30"/>
  <c r="DC93" i="30"/>
  <c r="CU93" i="30"/>
  <c r="CM93" i="30"/>
  <c r="CG93" i="30"/>
  <c r="CI93" i="30" s="1"/>
  <c r="CB93" i="30"/>
  <c r="DE93" i="30" s="1"/>
  <c r="BW93" i="30"/>
  <c r="BY93" i="30" s="1"/>
  <c r="BR93" i="30"/>
  <c r="DA93" i="30" s="1"/>
  <c r="BM93" i="30"/>
  <c r="BO93" i="30" s="1"/>
  <c r="BH93" i="30"/>
  <c r="CW93" i="30" s="1"/>
  <c r="BC93" i="30"/>
  <c r="BE93" i="30" s="1"/>
  <c r="AX93" i="30"/>
  <c r="CS93" i="30" s="1"/>
  <c r="AS93" i="30"/>
  <c r="AU93" i="30" s="1"/>
  <c r="AN93" i="30"/>
  <c r="CO93" i="30" s="1"/>
  <c r="AL93" i="30"/>
  <c r="AJ93" i="30"/>
  <c r="AI93" i="30"/>
  <c r="AD93" i="30"/>
  <c r="DA92" i="30"/>
  <c r="CS92" i="30"/>
  <c r="CG92" i="30"/>
  <c r="DG92" i="30" s="1"/>
  <c r="CB92" i="30"/>
  <c r="CD92" i="30" s="1"/>
  <c r="BW92" i="30"/>
  <c r="DC92" i="30" s="1"/>
  <c r="BR92" i="30"/>
  <c r="BT92" i="30" s="1"/>
  <c r="BM92" i="30"/>
  <c r="CY92" i="30" s="1"/>
  <c r="BH92" i="30"/>
  <c r="BJ92" i="30" s="1"/>
  <c r="BC92" i="30"/>
  <c r="CU92" i="30" s="1"/>
  <c r="AX92" i="30"/>
  <c r="AZ92" i="30" s="1"/>
  <c r="AS92" i="30"/>
  <c r="CQ92" i="30" s="1"/>
  <c r="AN92" i="30"/>
  <c r="AP92" i="30" s="1"/>
  <c r="AL92" i="30"/>
  <c r="AJ92" i="30"/>
  <c r="CM92" i="30" s="1"/>
  <c r="AI92" i="30"/>
  <c r="AD92" i="30"/>
  <c r="DC91" i="30"/>
  <c r="CI91" i="30"/>
  <c r="CG91" i="30"/>
  <c r="DG91" i="30" s="1"/>
  <c r="CB91" i="30"/>
  <c r="DE91" i="30" s="1"/>
  <c r="BW91" i="30"/>
  <c r="BY91" i="30" s="1"/>
  <c r="BR91" i="30"/>
  <c r="DA91" i="30" s="1"/>
  <c r="BM91" i="30"/>
  <c r="CY91" i="30" s="1"/>
  <c r="BH91" i="30"/>
  <c r="BE91" i="30"/>
  <c r="BC91" i="30"/>
  <c r="AZ91" i="30"/>
  <c r="AX91" i="30"/>
  <c r="AU91" i="30"/>
  <c r="AS91" i="30"/>
  <c r="CQ91" i="30" s="1"/>
  <c r="AN91" i="30"/>
  <c r="CO91" i="30" s="1"/>
  <c r="AL91" i="30"/>
  <c r="AJ91" i="30"/>
  <c r="CM91" i="30" s="1"/>
  <c r="AI91" i="30"/>
  <c r="AD91" i="30"/>
  <c r="CG90" i="30"/>
  <c r="DG90" i="30" s="1"/>
  <c r="CB90" i="30"/>
  <c r="DE90" i="30" s="1"/>
  <c r="BW90" i="30"/>
  <c r="BT90" i="30"/>
  <c r="BR90" i="30"/>
  <c r="DA90" i="30" s="1"/>
  <c r="BO90" i="30"/>
  <c r="BM90" i="30"/>
  <c r="CY90" i="30" s="1"/>
  <c r="BJ90" i="30"/>
  <c r="BH90" i="30"/>
  <c r="CW90" i="30" s="1"/>
  <c r="BC90" i="30"/>
  <c r="AX90" i="30"/>
  <c r="CS90" i="30" s="1"/>
  <c r="AS90" i="30"/>
  <c r="CQ90" i="30" s="1"/>
  <c r="AN90" i="30"/>
  <c r="AP90" i="30" s="1"/>
  <c r="AL90" i="30"/>
  <c r="AJ90" i="30"/>
  <c r="CM90" i="30" s="1"/>
  <c r="AI90" i="30"/>
  <c r="AD90" i="30"/>
  <c r="CM89" i="30"/>
  <c r="CG89" i="30"/>
  <c r="DG89" i="30" s="1"/>
  <c r="CB89" i="30"/>
  <c r="DE89" i="30" s="1"/>
  <c r="BW89" i="30"/>
  <c r="DC89" i="30" s="1"/>
  <c r="BR89" i="30"/>
  <c r="DA89" i="30" s="1"/>
  <c r="BM89" i="30"/>
  <c r="CY89" i="30" s="1"/>
  <c r="BH89" i="30"/>
  <c r="CW89" i="30" s="1"/>
  <c r="BC89" i="30"/>
  <c r="BE89" i="30" s="1"/>
  <c r="AX89" i="30"/>
  <c r="CS89" i="30" s="1"/>
  <c r="AS89" i="30"/>
  <c r="AU89" i="30" s="1"/>
  <c r="AN89" i="30"/>
  <c r="CO89" i="30" s="1"/>
  <c r="AL89" i="30"/>
  <c r="AJ89" i="30"/>
  <c r="AI89" i="30"/>
  <c r="AD89" i="30"/>
  <c r="CG88" i="30"/>
  <c r="DG88" i="30" s="1"/>
  <c r="CB88" i="30"/>
  <c r="DE88" i="30" s="1"/>
  <c r="BW88" i="30"/>
  <c r="DC88" i="30" s="1"/>
  <c r="BR88" i="30"/>
  <c r="DA88" i="30" s="1"/>
  <c r="BM88" i="30"/>
  <c r="CY88" i="30" s="1"/>
  <c r="BH88" i="30"/>
  <c r="CW88" i="30" s="1"/>
  <c r="BC88" i="30"/>
  <c r="BE88" i="30" s="1"/>
  <c r="AX88" i="30"/>
  <c r="CS88" i="30" s="1"/>
  <c r="AS88" i="30"/>
  <c r="CQ88" i="30" s="1"/>
  <c r="AN88" i="30"/>
  <c r="CO88" i="30" s="1"/>
  <c r="AL88" i="30"/>
  <c r="AJ88" i="30"/>
  <c r="CM88" i="30" s="1"/>
  <c r="AI88" i="30"/>
  <c r="AD88" i="30"/>
  <c r="DE87" i="30"/>
  <c r="DA87" i="30"/>
  <c r="CW87" i="30"/>
  <c r="CS87" i="30"/>
  <c r="CO87" i="30"/>
  <c r="CI87" i="30"/>
  <c r="CG87" i="30"/>
  <c r="DG87" i="30" s="1"/>
  <c r="CD87" i="30"/>
  <c r="CB87" i="30"/>
  <c r="BY87" i="30"/>
  <c r="BW87" i="30"/>
  <c r="DC87" i="30" s="1"/>
  <c r="BT87" i="30"/>
  <c r="BR87" i="30"/>
  <c r="BO87" i="30"/>
  <c r="BM87" i="30"/>
  <c r="CY87" i="30" s="1"/>
  <c r="BJ87" i="30"/>
  <c r="BH87" i="30"/>
  <c r="BE87" i="30"/>
  <c r="BC87" i="30"/>
  <c r="CU87" i="30" s="1"/>
  <c r="AZ87" i="30"/>
  <c r="AX87" i="30"/>
  <c r="AU87" i="30"/>
  <c r="AS87" i="30"/>
  <c r="CQ87" i="30" s="1"/>
  <c r="AP87" i="30"/>
  <c r="AN87" i="30"/>
  <c r="AL87" i="30"/>
  <c r="AJ87" i="30"/>
  <c r="CM87" i="30" s="1"/>
  <c r="AI87" i="30"/>
  <c r="AD87" i="30"/>
  <c r="DA86" i="30"/>
  <c r="CG86" i="30"/>
  <c r="CB86" i="30"/>
  <c r="CD86" i="30" s="1"/>
  <c r="BW86" i="30"/>
  <c r="BR86" i="30"/>
  <c r="BT86" i="30" s="1"/>
  <c r="BM86" i="30"/>
  <c r="BH86" i="30"/>
  <c r="BJ86" i="30" s="1"/>
  <c r="BC86" i="30"/>
  <c r="AX86" i="30"/>
  <c r="AZ86" i="30" s="1"/>
  <c r="AS86" i="30"/>
  <c r="AN86" i="30"/>
  <c r="AP86" i="30" s="1"/>
  <c r="AL86" i="30"/>
  <c r="AJ86" i="30"/>
  <c r="CM86" i="30" s="1"/>
  <c r="AI86" i="30"/>
  <c r="AD86" i="30"/>
  <c r="CY85" i="30"/>
  <c r="CG85" i="30"/>
  <c r="CI85" i="30" s="1"/>
  <c r="CB85" i="30"/>
  <c r="BW85" i="30"/>
  <c r="BR85" i="30"/>
  <c r="DA85" i="30" s="1"/>
  <c r="BO85" i="30"/>
  <c r="BM85" i="30"/>
  <c r="BH85" i="30"/>
  <c r="BC85" i="30"/>
  <c r="AX85" i="30"/>
  <c r="AS85" i="30"/>
  <c r="CQ85" i="30" s="1"/>
  <c r="AN85" i="30"/>
  <c r="AL85" i="30"/>
  <c r="AJ85" i="30"/>
  <c r="CM85" i="30" s="1"/>
  <c r="AI85" i="30"/>
  <c r="AD85" i="30"/>
  <c r="DG84" i="30"/>
  <c r="CG84" i="30"/>
  <c r="CI84" i="30" s="1"/>
  <c r="CD84" i="30"/>
  <c r="CB84" i="30"/>
  <c r="DE84" i="30" s="1"/>
  <c r="BW84" i="30"/>
  <c r="DC84" i="30" s="1"/>
  <c r="BR84" i="30"/>
  <c r="DA84" i="30" s="1"/>
  <c r="BM84" i="30"/>
  <c r="CY84" i="30" s="1"/>
  <c r="BH84" i="30"/>
  <c r="CW84" i="30" s="1"/>
  <c r="BC84" i="30"/>
  <c r="AX84" i="30"/>
  <c r="CS84" i="30" s="1"/>
  <c r="AS84" i="30"/>
  <c r="AU84" i="30" s="1"/>
  <c r="AP84" i="30"/>
  <c r="AN84" i="30"/>
  <c r="AL84" i="30"/>
  <c r="AJ84" i="30"/>
  <c r="CM84" i="30" s="1"/>
  <c r="AI84" i="30"/>
  <c r="AD84" i="30"/>
  <c r="CG83" i="30"/>
  <c r="CI83" i="30" s="1"/>
  <c r="CB83" i="30"/>
  <c r="DE83" i="30" s="1"/>
  <c r="BW83" i="30"/>
  <c r="DC83" i="30" s="1"/>
  <c r="BR83" i="30"/>
  <c r="BT83" i="30" s="1"/>
  <c r="BM83" i="30"/>
  <c r="BO83" i="30" s="1"/>
  <c r="BH83" i="30"/>
  <c r="CW83" i="30" s="1"/>
  <c r="BC83" i="30"/>
  <c r="CU83" i="30" s="1"/>
  <c r="AX83" i="30"/>
  <c r="AZ83" i="30" s="1"/>
  <c r="AS83" i="30"/>
  <c r="AU83" i="30" s="1"/>
  <c r="AN83" i="30"/>
  <c r="CO83" i="30" s="1"/>
  <c r="AL83" i="30"/>
  <c r="AJ83" i="30"/>
  <c r="CM83" i="30" s="1"/>
  <c r="AI83" i="30"/>
  <c r="AD83" i="30"/>
  <c r="CG82" i="30"/>
  <c r="DG82" i="30" s="1"/>
  <c r="CB82" i="30"/>
  <c r="DE82" i="30" s="1"/>
  <c r="BW82" i="30"/>
  <c r="DC82" i="30" s="1"/>
  <c r="BR82" i="30"/>
  <c r="BT82" i="30" s="1"/>
  <c r="BM82" i="30"/>
  <c r="CY82" i="30" s="1"/>
  <c r="BH82" i="30"/>
  <c r="BJ82" i="30" s="1"/>
  <c r="BC82" i="30"/>
  <c r="CU82" i="30" s="1"/>
  <c r="AX82" i="30"/>
  <c r="AZ82" i="30" s="1"/>
  <c r="AS82" i="30"/>
  <c r="CQ82" i="30" s="1"/>
  <c r="AN82" i="30"/>
  <c r="AP82" i="30" s="1"/>
  <c r="AL82" i="30"/>
  <c r="AJ82" i="30"/>
  <c r="CM82" i="30" s="1"/>
  <c r="AI82" i="30"/>
  <c r="AD82" i="30"/>
  <c r="CG81" i="30"/>
  <c r="CB81" i="30"/>
  <c r="DE81" i="30" s="1"/>
  <c r="BW81" i="30"/>
  <c r="BR81" i="30"/>
  <c r="DA81" i="30" s="1"/>
  <c r="BM81" i="30"/>
  <c r="BH81" i="30"/>
  <c r="CW81" i="30" s="1"/>
  <c r="BC81" i="30"/>
  <c r="AX81" i="30"/>
  <c r="CS81" i="30" s="1"/>
  <c r="AS81" i="30"/>
  <c r="AN81" i="30"/>
  <c r="CO81" i="30" s="1"/>
  <c r="AL81" i="30"/>
  <c r="AJ81" i="30"/>
  <c r="CM81" i="30" s="1"/>
  <c r="AI81" i="30"/>
  <c r="AD81" i="30"/>
  <c r="DC80" i="30"/>
  <c r="CU80" i="30"/>
  <c r="CI80" i="30"/>
  <c r="CG80" i="30"/>
  <c r="DG80" i="30" s="1"/>
  <c r="CD80" i="30"/>
  <c r="CB80" i="30"/>
  <c r="DE80" i="30" s="1"/>
  <c r="BY80" i="30"/>
  <c r="BW80" i="30"/>
  <c r="BT80" i="30"/>
  <c r="BR80" i="30"/>
  <c r="DA80" i="30" s="1"/>
  <c r="BO80" i="30"/>
  <c r="BM80" i="30"/>
  <c r="CY80" i="30" s="1"/>
  <c r="BJ80" i="30"/>
  <c r="BH80" i="30"/>
  <c r="CW80" i="30" s="1"/>
  <c r="BE80" i="30"/>
  <c r="BC80" i="30"/>
  <c r="AZ80" i="30"/>
  <c r="AX80" i="30"/>
  <c r="CS80" i="30" s="1"/>
  <c r="AU80" i="30"/>
  <c r="AS80" i="30"/>
  <c r="CQ80" i="30" s="1"/>
  <c r="AP80" i="30"/>
  <c r="AN80" i="30"/>
  <c r="CO80" i="30" s="1"/>
  <c r="AL80" i="30"/>
  <c r="AJ80" i="30"/>
  <c r="CM80" i="30" s="1"/>
  <c r="AI80" i="30"/>
  <c r="AD80" i="30"/>
  <c r="CG79" i="30"/>
  <c r="CI79" i="30" s="1"/>
  <c r="CB79" i="30"/>
  <c r="DE79" i="30" s="1"/>
  <c r="BW79" i="30"/>
  <c r="DC79" i="30" s="1"/>
  <c r="BR79" i="30"/>
  <c r="BT79" i="30" s="1"/>
  <c r="BM79" i="30"/>
  <c r="BO79" i="30" s="1"/>
  <c r="BH79" i="30"/>
  <c r="CW79" i="30" s="1"/>
  <c r="BC79" i="30"/>
  <c r="CU79" i="30" s="1"/>
  <c r="AX79" i="30"/>
  <c r="AZ79" i="30" s="1"/>
  <c r="AS79" i="30"/>
  <c r="AU79" i="30" s="1"/>
  <c r="AN79" i="30"/>
  <c r="CO79" i="30" s="1"/>
  <c r="AL79" i="30"/>
  <c r="AJ79" i="30"/>
  <c r="CM79" i="30" s="1"/>
  <c r="AI79" i="30"/>
  <c r="AD79" i="30"/>
  <c r="DA78" i="30"/>
  <c r="CS78" i="30"/>
  <c r="CG78" i="30"/>
  <c r="DG78" i="30" s="1"/>
  <c r="CB78" i="30"/>
  <c r="CD78" i="30" s="1"/>
  <c r="BW78" i="30"/>
  <c r="DC78" i="30" s="1"/>
  <c r="BR78" i="30"/>
  <c r="BT78" i="30" s="1"/>
  <c r="BM78" i="30"/>
  <c r="CY78" i="30" s="1"/>
  <c r="BH78" i="30"/>
  <c r="BJ78" i="30" s="1"/>
  <c r="BC78" i="30"/>
  <c r="CU78" i="30" s="1"/>
  <c r="AX78" i="30"/>
  <c r="AZ78" i="30" s="1"/>
  <c r="AS78" i="30"/>
  <c r="CQ78" i="30" s="1"/>
  <c r="AN78" i="30"/>
  <c r="AP78" i="30" s="1"/>
  <c r="Y25" i="13" s="1"/>
  <c r="AL78" i="30"/>
  <c r="AJ78" i="30"/>
  <c r="CM78" i="30" s="1"/>
  <c r="AI78" i="30"/>
  <c r="AD78" i="30"/>
  <c r="CG77" i="30"/>
  <c r="CB77" i="30"/>
  <c r="DE77" i="30" s="1"/>
  <c r="BW77" i="30"/>
  <c r="BR77" i="30"/>
  <c r="DA77" i="30" s="1"/>
  <c r="BM77" i="30"/>
  <c r="BH77" i="30"/>
  <c r="CW77" i="30" s="1"/>
  <c r="BC77" i="30"/>
  <c r="AX77" i="30"/>
  <c r="CS77" i="30" s="1"/>
  <c r="AS77" i="30"/>
  <c r="AN77" i="30"/>
  <c r="AL77" i="30"/>
  <c r="AJ77" i="30"/>
  <c r="CM77" i="30" s="1"/>
  <c r="AI77" i="30"/>
  <c r="AD77" i="30"/>
  <c r="DG76" i="30"/>
  <c r="CY76" i="30"/>
  <c r="CI76" i="30"/>
  <c r="CG76" i="30"/>
  <c r="CD76" i="30"/>
  <c r="CB76" i="30"/>
  <c r="BY76" i="30"/>
  <c r="BW76" i="30"/>
  <c r="DC76" i="30" s="1"/>
  <c r="BT76" i="30"/>
  <c r="BR76" i="30"/>
  <c r="BO76" i="30"/>
  <c r="BM76" i="30"/>
  <c r="BJ76" i="30"/>
  <c r="BH76" i="30"/>
  <c r="BE76" i="30"/>
  <c r="BC76" i="30"/>
  <c r="CU76" i="30" s="1"/>
  <c r="AZ76" i="30"/>
  <c r="AX76" i="30"/>
  <c r="AU76" i="30"/>
  <c r="AS76" i="30"/>
  <c r="AP76" i="30"/>
  <c r="AN76" i="30"/>
  <c r="AL76" i="30"/>
  <c r="AJ76" i="30"/>
  <c r="CM76" i="30" s="1"/>
  <c r="AI76" i="30"/>
  <c r="AD76" i="30"/>
  <c r="DG75" i="30"/>
  <c r="DC75" i="30"/>
  <c r="CY75" i="30"/>
  <c r="CU75" i="30"/>
  <c r="CQ75" i="30"/>
  <c r="CI75" i="30"/>
  <c r="CG75" i="30"/>
  <c r="CD75" i="30"/>
  <c r="CB75" i="30"/>
  <c r="DE75" i="30" s="1"/>
  <c r="BY75" i="30"/>
  <c r="BW75" i="30"/>
  <c r="BT75" i="30"/>
  <c r="BR75" i="30"/>
  <c r="DA75" i="30" s="1"/>
  <c r="BO75" i="30"/>
  <c r="BM75" i="30"/>
  <c r="BJ75" i="30"/>
  <c r="BH75" i="30"/>
  <c r="CW75" i="30" s="1"/>
  <c r="BE75" i="30"/>
  <c r="BC75" i="30"/>
  <c r="AZ75" i="30"/>
  <c r="AX75" i="30"/>
  <c r="CS75" i="30" s="1"/>
  <c r="AU75" i="30"/>
  <c r="AS75" i="30"/>
  <c r="AP75" i="30"/>
  <c r="AN75" i="30"/>
  <c r="CO75" i="30" s="1"/>
  <c r="AL75" i="30"/>
  <c r="AJ75" i="30"/>
  <c r="CM75" i="30" s="1"/>
  <c r="AI75" i="30"/>
  <c r="AD75" i="30"/>
  <c r="CG74" i="30"/>
  <c r="DG74" i="30" s="1"/>
  <c r="CB74" i="30"/>
  <c r="DE74" i="30" s="1"/>
  <c r="BW74" i="30"/>
  <c r="DC74" i="30" s="1"/>
  <c r="BR74" i="30"/>
  <c r="DA74" i="30" s="1"/>
  <c r="BM74" i="30"/>
  <c r="CY74" i="30" s="1"/>
  <c r="BH74" i="30"/>
  <c r="CW74" i="30" s="1"/>
  <c r="BC74" i="30"/>
  <c r="CU74" i="30" s="1"/>
  <c r="AX74" i="30"/>
  <c r="CS74" i="30" s="1"/>
  <c r="AS74" i="30"/>
  <c r="CQ74" i="30" s="1"/>
  <c r="AN74" i="30"/>
  <c r="CO74" i="30" s="1"/>
  <c r="AL74" i="30"/>
  <c r="AJ74" i="30"/>
  <c r="CM74" i="30" s="1"/>
  <c r="AI74" i="30"/>
  <c r="AD74" i="30"/>
  <c r="CG73" i="30"/>
  <c r="CI73" i="30" s="1"/>
  <c r="CB73" i="30"/>
  <c r="DE73" i="30" s="1"/>
  <c r="BW73" i="30"/>
  <c r="DC73" i="30" s="1"/>
  <c r="BR73" i="30"/>
  <c r="BT73" i="30" s="1"/>
  <c r="BM73" i="30"/>
  <c r="BO73" i="30" s="1"/>
  <c r="BH73" i="30"/>
  <c r="CW73" i="30" s="1"/>
  <c r="BC73" i="30"/>
  <c r="CU73" i="30" s="1"/>
  <c r="AX73" i="30"/>
  <c r="AZ73" i="30" s="1"/>
  <c r="AS73" i="30"/>
  <c r="AU73" i="30" s="1"/>
  <c r="AN73" i="30"/>
  <c r="CO73" i="30" s="1"/>
  <c r="AL73" i="30"/>
  <c r="AJ73" i="30"/>
  <c r="CM73" i="30" s="1"/>
  <c r="AI73" i="30"/>
  <c r="AD73" i="30"/>
  <c r="CG72" i="30"/>
  <c r="CB72" i="30"/>
  <c r="BW72" i="30"/>
  <c r="BR72" i="30"/>
  <c r="BM72" i="30"/>
  <c r="BH72" i="30"/>
  <c r="BC72" i="30"/>
  <c r="AX72" i="30"/>
  <c r="AS72" i="30"/>
  <c r="AN72" i="30"/>
  <c r="AL72" i="30"/>
  <c r="AJ72" i="30"/>
  <c r="CM72" i="30" s="1"/>
  <c r="AI72" i="30"/>
  <c r="AD72" i="30"/>
  <c r="DE71" i="30"/>
  <c r="DA71" i="30"/>
  <c r="CW71" i="30"/>
  <c r="CS71" i="30"/>
  <c r="CO71" i="30"/>
  <c r="CI71" i="30"/>
  <c r="CG71" i="30"/>
  <c r="DG71" i="30" s="1"/>
  <c r="CD71" i="30"/>
  <c r="CB71" i="30"/>
  <c r="BY71" i="30"/>
  <c r="BW71" i="30"/>
  <c r="DC71" i="30" s="1"/>
  <c r="BT71" i="30"/>
  <c r="BR71" i="30"/>
  <c r="BO71" i="30"/>
  <c r="BM71" i="30"/>
  <c r="CY71" i="30" s="1"/>
  <c r="BJ71" i="30"/>
  <c r="BH71" i="30"/>
  <c r="BE71" i="30"/>
  <c r="BC71" i="30"/>
  <c r="CU71" i="30" s="1"/>
  <c r="AZ71" i="30"/>
  <c r="AX71" i="30"/>
  <c r="AU71" i="30"/>
  <c r="AS71" i="30"/>
  <c r="CQ71" i="30" s="1"/>
  <c r="AP71" i="30"/>
  <c r="AN71" i="30"/>
  <c r="AL71" i="30"/>
  <c r="AJ71" i="30"/>
  <c r="CM71" i="30" s="1"/>
  <c r="AI71" i="30"/>
  <c r="AD71" i="30"/>
  <c r="CG70" i="30"/>
  <c r="DG70" i="30" s="1"/>
  <c r="CB70" i="30"/>
  <c r="DE70" i="30" s="1"/>
  <c r="BW70" i="30"/>
  <c r="DC70" i="30" s="1"/>
  <c r="BR70" i="30"/>
  <c r="DA70" i="30" s="1"/>
  <c r="BM70" i="30"/>
  <c r="CY70" i="30" s="1"/>
  <c r="BH70" i="30"/>
  <c r="CW70" i="30" s="1"/>
  <c r="BC70" i="30"/>
  <c r="CU70" i="30" s="1"/>
  <c r="AX70" i="30"/>
  <c r="CS70" i="30" s="1"/>
  <c r="AS70" i="30"/>
  <c r="CQ70" i="30" s="1"/>
  <c r="AN70" i="30"/>
  <c r="CO70" i="30" s="1"/>
  <c r="AL70" i="30"/>
  <c r="AJ70" i="30"/>
  <c r="CM70" i="30" s="1"/>
  <c r="AI70" i="30"/>
  <c r="AD70" i="30"/>
  <c r="U70" i="30"/>
  <c r="R70" i="30"/>
  <c r="T70" i="30" s="1"/>
  <c r="Q70" i="30"/>
  <c r="P70" i="30"/>
  <c r="G70" i="30"/>
  <c r="F70" i="30"/>
  <c r="C70" i="30"/>
  <c r="H70" i="30" s="1"/>
  <c r="B70" i="30"/>
  <c r="DE69" i="30"/>
  <c r="DC69" i="30"/>
  <c r="DA69" i="30"/>
  <c r="CW69" i="30"/>
  <c r="CU69" i="30"/>
  <c r="CS69" i="30"/>
  <c r="CO69" i="30"/>
  <c r="CM69" i="30"/>
  <c r="CI69" i="30"/>
  <c r="CG69" i="30"/>
  <c r="DG69" i="30" s="1"/>
  <c r="CD69" i="30"/>
  <c r="CB69" i="30"/>
  <c r="BY69" i="30"/>
  <c r="BW69" i="30"/>
  <c r="BT69" i="30"/>
  <c r="BR69" i="30"/>
  <c r="BO69" i="30"/>
  <c r="BM69" i="30"/>
  <c r="CY69" i="30" s="1"/>
  <c r="BJ69" i="30"/>
  <c r="BH69" i="30"/>
  <c r="BE69" i="30"/>
  <c r="BC69" i="30"/>
  <c r="AZ69" i="30"/>
  <c r="AX69" i="30"/>
  <c r="AU69" i="30"/>
  <c r="AS69" i="30"/>
  <c r="CQ69" i="30" s="1"/>
  <c r="AP69" i="30"/>
  <c r="AN69" i="30"/>
  <c r="AL69" i="30"/>
  <c r="AJ69" i="30"/>
  <c r="AI69" i="30"/>
  <c r="AD69" i="30"/>
  <c r="U69" i="30"/>
  <c r="R69" i="30"/>
  <c r="T69" i="30" s="1"/>
  <c r="Q69" i="30"/>
  <c r="P69" i="30"/>
  <c r="G69" i="30"/>
  <c r="F69" i="30" s="1"/>
  <c r="C69" i="30"/>
  <c r="B69" i="30"/>
  <c r="CG68" i="30"/>
  <c r="CB68" i="30"/>
  <c r="BW68" i="30"/>
  <c r="BR68" i="30"/>
  <c r="BM68" i="30"/>
  <c r="BH68" i="30"/>
  <c r="BC68" i="30"/>
  <c r="AX68" i="30"/>
  <c r="AS68" i="30"/>
  <c r="AN68" i="30"/>
  <c r="AL68" i="30"/>
  <c r="AJ68" i="30"/>
  <c r="CM68" i="30" s="1"/>
  <c r="AI68" i="30"/>
  <c r="AD68" i="30"/>
  <c r="U68" i="30"/>
  <c r="R68" i="30"/>
  <c r="S68" i="30" s="1"/>
  <c r="Q68" i="30"/>
  <c r="P68" i="30"/>
  <c r="H68" i="30"/>
  <c r="G68" i="30"/>
  <c r="F68" i="30"/>
  <c r="C68" i="30"/>
  <c r="B68" i="30"/>
  <c r="CG67" i="30"/>
  <c r="CI67" i="30" s="1"/>
  <c r="CB67" i="30"/>
  <c r="DE67" i="30" s="1"/>
  <c r="BW67" i="30"/>
  <c r="DC67" i="30" s="1"/>
  <c r="BR67" i="30"/>
  <c r="BT67" i="30" s="1"/>
  <c r="BM67" i="30"/>
  <c r="BO67" i="30" s="1"/>
  <c r="BH67" i="30"/>
  <c r="CW67" i="30" s="1"/>
  <c r="BC67" i="30"/>
  <c r="CU67" i="30" s="1"/>
  <c r="AX67" i="30"/>
  <c r="AZ67" i="30" s="1"/>
  <c r="AS67" i="30"/>
  <c r="AU67" i="30" s="1"/>
  <c r="AN67" i="30"/>
  <c r="CO67" i="30" s="1"/>
  <c r="AL67" i="30"/>
  <c r="AJ67" i="30"/>
  <c r="CM67" i="30" s="1"/>
  <c r="AI67" i="30"/>
  <c r="AD67" i="30"/>
  <c r="U67" i="30"/>
  <c r="R67" i="30"/>
  <c r="T67" i="30" s="1"/>
  <c r="Q67" i="30"/>
  <c r="P67" i="30"/>
  <c r="V67" i="30" s="1"/>
  <c r="G67" i="30"/>
  <c r="F67" i="30" s="1"/>
  <c r="C67" i="30"/>
  <c r="B67" i="30"/>
  <c r="CG66" i="30"/>
  <c r="CB66" i="30"/>
  <c r="BW66" i="30"/>
  <c r="BR66" i="30"/>
  <c r="BM66" i="30"/>
  <c r="BH66" i="30"/>
  <c r="BC66" i="30"/>
  <c r="AX66" i="30"/>
  <c r="AS66" i="30"/>
  <c r="AN66" i="30"/>
  <c r="AL66" i="30"/>
  <c r="AJ66" i="30"/>
  <c r="CM66" i="30" s="1"/>
  <c r="AI66" i="30"/>
  <c r="AD66" i="30"/>
  <c r="U66" i="30"/>
  <c r="R66" i="30"/>
  <c r="S66" i="30" s="1"/>
  <c r="Q66" i="30"/>
  <c r="P66" i="30"/>
  <c r="G66" i="30"/>
  <c r="F66" i="30"/>
  <c r="C66" i="30"/>
  <c r="H66" i="30" s="1"/>
  <c r="B66" i="30"/>
  <c r="DC65" i="30"/>
  <c r="DA65" i="30"/>
  <c r="CG65" i="30"/>
  <c r="DG65" i="30" s="1"/>
  <c r="CB65" i="30"/>
  <c r="CD65" i="30" s="1"/>
  <c r="BW65" i="30"/>
  <c r="BT65" i="30"/>
  <c r="BR65" i="30"/>
  <c r="BM65" i="30"/>
  <c r="BH65" i="30"/>
  <c r="CW65" i="30" s="1"/>
  <c r="BC65" i="30"/>
  <c r="AZ65" i="30"/>
  <c r="AX65" i="30"/>
  <c r="CS65" i="30" s="1"/>
  <c r="AS65" i="30"/>
  <c r="CQ65" i="30" s="1"/>
  <c r="AN65" i="30"/>
  <c r="AP65" i="30" s="1"/>
  <c r="AL65" i="30"/>
  <c r="AJ65" i="30"/>
  <c r="CM65" i="30" s="1"/>
  <c r="AD65" i="30"/>
  <c r="U65" i="30"/>
  <c r="R65" i="30"/>
  <c r="T65" i="30" s="1"/>
  <c r="Q65" i="30"/>
  <c r="P65" i="30"/>
  <c r="G65" i="30"/>
  <c r="F65" i="30"/>
  <c r="C65" i="30"/>
  <c r="H65" i="30" s="1"/>
  <c r="B65" i="30"/>
  <c r="DG64" i="30"/>
  <c r="DC64" i="30"/>
  <c r="CY64" i="30"/>
  <c r="CU64" i="30"/>
  <c r="CQ64" i="30"/>
  <c r="CG64" i="30"/>
  <c r="CB64" i="30"/>
  <c r="DE64" i="30" s="1"/>
  <c r="BW64" i="30"/>
  <c r="BR64" i="30"/>
  <c r="DA64" i="30" s="1"/>
  <c r="BM64" i="30"/>
  <c r="BH64" i="30"/>
  <c r="CW64" i="30" s="1"/>
  <c r="BC64" i="30"/>
  <c r="AX64" i="30"/>
  <c r="CS64" i="30" s="1"/>
  <c r="AU64" i="30"/>
  <c r="AS64" i="30"/>
  <c r="AP64" i="30"/>
  <c r="AN64" i="30"/>
  <c r="CO64" i="30" s="1"/>
  <c r="AL64" i="30"/>
  <c r="AJ64" i="30"/>
  <c r="CM64" i="30" s="1"/>
  <c r="AI64" i="30"/>
  <c r="AD64" i="30"/>
  <c r="U64" i="30"/>
  <c r="R64" i="30"/>
  <c r="T64" i="30" s="1"/>
  <c r="Q64" i="30"/>
  <c r="P64" i="30"/>
  <c r="G64" i="30"/>
  <c r="F64" i="30" s="1"/>
  <c r="C64" i="30"/>
  <c r="B64" i="30"/>
  <c r="CG63" i="30"/>
  <c r="DG63" i="30" s="1"/>
  <c r="CB63" i="30"/>
  <c r="CD63" i="30" s="1"/>
  <c r="BW63" i="30"/>
  <c r="DC63" i="30" s="1"/>
  <c r="BR63" i="30"/>
  <c r="BT63" i="30" s="1"/>
  <c r="BM63" i="30"/>
  <c r="CY63" i="30" s="1"/>
  <c r="BH63" i="30"/>
  <c r="BJ63" i="30" s="1"/>
  <c r="BC63" i="30"/>
  <c r="CU63" i="30" s="1"/>
  <c r="AX63" i="30"/>
  <c r="AZ63" i="30" s="1"/>
  <c r="AS63" i="30"/>
  <c r="CQ63" i="30" s="1"/>
  <c r="AN63" i="30"/>
  <c r="AP63" i="30" s="1"/>
  <c r="AL63" i="30"/>
  <c r="AJ63" i="30"/>
  <c r="CM63" i="30" s="1"/>
  <c r="AI63" i="30"/>
  <c r="AD63" i="30"/>
  <c r="U63" i="30"/>
  <c r="R63" i="30"/>
  <c r="S63" i="30" s="1"/>
  <c r="Q63" i="30"/>
  <c r="P63" i="30"/>
  <c r="H63" i="30"/>
  <c r="G63" i="30"/>
  <c r="F63" i="30"/>
  <c r="C63" i="30"/>
  <c r="B63" i="30"/>
  <c r="DA62" i="30"/>
  <c r="CS62" i="30"/>
  <c r="CG62" i="30"/>
  <c r="CB62" i="30"/>
  <c r="DE62" i="30" s="1"/>
  <c r="BW62" i="30"/>
  <c r="BR62" i="30"/>
  <c r="BM62" i="30"/>
  <c r="BH62" i="30"/>
  <c r="CW62" i="30" s="1"/>
  <c r="BC62" i="30"/>
  <c r="AX62" i="30"/>
  <c r="AS62" i="30"/>
  <c r="AN62" i="30"/>
  <c r="CO62" i="30" s="1"/>
  <c r="AJ62" i="30"/>
  <c r="CM62" i="30" s="1"/>
  <c r="AI62" i="30"/>
  <c r="AD62" i="30"/>
  <c r="U62" i="30"/>
  <c r="R62" i="30"/>
  <c r="S62" i="30" s="1"/>
  <c r="Q62" i="30"/>
  <c r="P62" i="30"/>
  <c r="G62" i="30"/>
  <c r="F62" i="30"/>
  <c r="C62" i="30"/>
  <c r="H62" i="30" s="1"/>
  <c r="B62" i="30"/>
  <c r="DG61" i="30"/>
  <c r="DC61" i="30"/>
  <c r="CY61" i="30"/>
  <c r="CU61" i="30"/>
  <c r="CQ61" i="30"/>
  <c r="CI61" i="30"/>
  <c r="CG61" i="30"/>
  <c r="CD61" i="30"/>
  <c r="CB61" i="30"/>
  <c r="DE61" i="30" s="1"/>
  <c r="BY61" i="30"/>
  <c r="BW61" i="30"/>
  <c r="BT61" i="30"/>
  <c r="BR61" i="30"/>
  <c r="DA61" i="30" s="1"/>
  <c r="BO61" i="30"/>
  <c r="BM61" i="30"/>
  <c r="BJ61" i="30"/>
  <c r="BH61" i="30"/>
  <c r="CW61" i="30" s="1"/>
  <c r="BE61" i="30"/>
  <c r="BC61" i="30"/>
  <c r="AZ61" i="30"/>
  <c r="AX61" i="30"/>
  <c r="CS61" i="30" s="1"/>
  <c r="AU61" i="30"/>
  <c r="AS61" i="30"/>
  <c r="AP61" i="30"/>
  <c r="AN61" i="30"/>
  <c r="CO61" i="30" s="1"/>
  <c r="AJ61" i="30"/>
  <c r="CM61" i="30" s="1"/>
  <c r="AI61" i="30"/>
  <c r="AD61" i="30"/>
  <c r="U61" i="30"/>
  <c r="R61" i="30"/>
  <c r="S61" i="30" s="1"/>
  <c r="Q61" i="30"/>
  <c r="P61" i="30"/>
  <c r="G61" i="30"/>
  <c r="F61" i="30"/>
  <c r="C61" i="30"/>
  <c r="H61" i="30" s="1"/>
  <c r="B61" i="30"/>
  <c r="DE60" i="30"/>
  <c r="DA60" i="30"/>
  <c r="CW60" i="30"/>
  <c r="CS60" i="30"/>
  <c r="CI60" i="30"/>
  <c r="CG60" i="30"/>
  <c r="DG60" i="30" s="1"/>
  <c r="CD60" i="30"/>
  <c r="CB60" i="30"/>
  <c r="BY60" i="30"/>
  <c r="BW60" i="30"/>
  <c r="DC60" i="30" s="1"/>
  <c r="BT60" i="30"/>
  <c r="BR60" i="30"/>
  <c r="BO60" i="30"/>
  <c r="BM60" i="30"/>
  <c r="CY60" i="30" s="1"/>
  <c r="BJ60" i="30"/>
  <c r="BH60" i="30"/>
  <c r="BE60" i="30"/>
  <c r="BC60" i="30"/>
  <c r="CU60" i="30" s="1"/>
  <c r="AZ60" i="30"/>
  <c r="AX60" i="30"/>
  <c r="AU60" i="30"/>
  <c r="AS60" i="30"/>
  <c r="AP60" i="30"/>
  <c r="AN60" i="30"/>
  <c r="CO60" i="30" s="1"/>
  <c r="AL60" i="30"/>
  <c r="AJ60" i="30"/>
  <c r="CM60" i="30" s="1"/>
  <c r="AI60" i="30"/>
  <c r="AD60" i="30"/>
  <c r="U60" i="30"/>
  <c r="R60" i="30"/>
  <c r="T60" i="30" s="1"/>
  <c r="Q60" i="30"/>
  <c r="P60" i="30"/>
  <c r="G60" i="30"/>
  <c r="C60" i="30"/>
  <c r="H60" i="30" s="1"/>
  <c r="B60" i="30"/>
  <c r="CG59" i="30"/>
  <c r="DG59" i="30" s="1"/>
  <c r="CB59" i="30"/>
  <c r="DE59" i="30" s="1"/>
  <c r="BW59" i="30"/>
  <c r="DC59" i="30" s="1"/>
  <c r="BR59" i="30"/>
  <c r="DA59" i="30" s="1"/>
  <c r="BM59" i="30"/>
  <c r="CY59" i="30" s="1"/>
  <c r="BH59" i="30"/>
  <c r="CW59" i="30" s="1"/>
  <c r="BC59" i="30"/>
  <c r="CU59" i="30" s="1"/>
  <c r="AX59" i="30"/>
  <c r="CS59" i="30" s="1"/>
  <c r="AS59" i="30"/>
  <c r="CQ59" i="30" s="1"/>
  <c r="AN59" i="30"/>
  <c r="CO59" i="30" s="1"/>
  <c r="AL59" i="30"/>
  <c r="AJ59" i="30"/>
  <c r="CM59" i="30" s="1"/>
  <c r="AI59" i="30"/>
  <c r="AD59" i="30"/>
  <c r="U59" i="30"/>
  <c r="R59" i="30"/>
  <c r="S59" i="30" s="1"/>
  <c r="Q59" i="30"/>
  <c r="P59" i="30"/>
  <c r="H59" i="30"/>
  <c r="G59" i="30"/>
  <c r="F59" i="30"/>
  <c r="C59" i="30"/>
  <c r="B59" i="30"/>
  <c r="CG58" i="30"/>
  <c r="CI58" i="30" s="1"/>
  <c r="CB58" i="30"/>
  <c r="DE58" i="30" s="1"/>
  <c r="BW58" i="30"/>
  <c r="BR58" i="30"/>
  <c r="BT58" i="30" s="1"/>
  <c r="BM58" i="30"/>
  <c r="BO58" i="30" s="1"/>
  <c r="BH58" i="30"/>
  <c r="CW58" i="30" s="1"/>
  <c r="BC58" i="30"/>
  <c r="AX58" i="30"/>
  <c r="AZ58" i="30" s="1"/>
  <c r="AS58" i="30"/>
  <c r="AU58" i="30" s="1"/>
  <c r="AN58" i="30"/>
  <c r="CO58" i="30" s="1"/>
  <c r="AL58" i="30"/>
  <c r="AJ58" i="30"/>
  <c r="CM58" i="30" s="1"/>
  <c r="AI58" i="30"/>
  <c r="AD58" i="30"/>
  <c r="U58" i="30"/>
  <c r="S58" i="30"/>
  <c r="R58" i="30"/>
  <c r="T58" i="30" s="1"/>
  <c r="Q58" i="30"/>
  <c r="P58" i="30"/>
  <c r="V58" i="30" s="1"/>
  <c r="G58" i="30"/>
  <c r="F58" i="30" s="1"/>
  <c r="C58" i="30"/>
  <c r="B58" i="30"/>
  <c r="CG57" i="30"/>
  <c r="DG57" i="30" s="1"/>
  <c r="CB57" i="30"/>
  <c r="CD57" i="30" s="1"/>
  <c r="BW57" i="30"/>
  <c r="DC57" i="30" s="1"/>
  <c r="BR57" i="30"/>
  <c r="BT57" i="30" s="1"/>
  <c r="BM57" i="30"/>
  <c r="CY57" i="30" s="1"/>
  <c r="BH57" i="30"/>
  <c r="BJ57" i="30" s="1"/>
  <c r="BC57" i="30"/>
  <c r="CU57" i="30" s="1"/>
  <c r="AX57" i="30"/>
  <c r="AZ57" i="30" s="1"/>
  <c r="AS57" i="30"/>
  <c r="CQ57" i="30" s="1"/>
  <c r="AN57" i="30"/>
  <c r="AP57" i="30" s="1"/>
  <c r="AL57" i="30"/>
  <c r="AJ57" i="30"/>
  <c r="CM57" i="30" s="1"/>
  <c r="AI57" i="30"/>
  <c r="AD57" i="30"/>
  <c r="U57" i="30"/>
  <c r="R57" i="30"/>
  <c r="Q57" i="30"/>
  <c r="P57" i="30"/>
  <c r="H57" i="30"/>
  <c r="G57" i="30"/>
  <c r="F57" i="30"/>
  <c r="C57" i="30"/>
  <c r="B57" i="30"/>
  <c r="DG56" i="30"/>
  <c r="CY56" i="30"/>
  <c r="CQ56" i="30"/>
  <c r="CG56" i="30"/>
  <c r="CI56" i="30" s="1"/>
  <c r="CB56" i="30"/>
  <c r="DE56" i="30" s="1"/>
  <c r="BW56" i="30"/>
  <c r="BR56" i="30"/>
  <c r="BT56" i="30" s="1"/>
  <c r="BM56" i="30"/>
  <c r="BO56" i="30" s="1"/>
  <c r="BH56" i="30"/>
  <c r="CW56" i="30" s="1"/>
  <c r="BC56" i="30"/>
  <c r="AX56" i="30"/>
  <c r="AZ56" i="30" s="1"/>
  <c r="AS56" i="30"/>
  <c r="AU56" i="30" s="1"/>
  <c r="AN56" i="30"/>
  <c r="AL56" i="30"/>
  <c r="AJ56" i="30"/>
  <c r="CM56" i="30" s="1"/>
  <c r="AI56" i="30"/>
  <c r="AD56" i="30"/>
  <c r="U56" i="30"/>
  <c r="R56" i="30"/>
  <c r="S56" i="30" s="1"/>
  <c r="Q56" i="30"/>
  <c r="P56" i="30"/>
  <c r="G56" i="30"/>
  <c r="C56" i="30"/>
  <c r="H56" i="30" s="1"/>
  <c r="B56" i="30"/>
  <c r="CG55" i="30"/>
  <c r="DG55" i="30" s="1"/>
  <c r="CB55" i="30"/>
  <c r="DE55" i="30" s="1"/>
  <c r="BW55" i="30"/>
  <c r="DC55" i="30" s="1"/>
  <c r="BR55" i="30"/>
  <c r="DA55" i="30" s="1"/>
  <c r="BM55" i="30"/>
  <c r="CY55" i="30" s="1"/>
  <c r="BH55" i="30"/>
  <c r="CW55" i="30" s="1"/>
  <c r="BC55" i="30"/>
  <c r="CU55" i="30" s="1"/>
  <c r="AX55" i="30"/>
  <c r="CS55" i="30" s="1"/>
  <c r="AS55" i="30"/>
  <c r="CQ55" i="30" s="1"/>
  <c r="AN55" i="30"/>
  <c r="CO55" i="30" s="1"/>
  <c r="AL55" i="30"/>
  <c r="AJ55" i="30"/>
  <c r="CM55" i="30" s="1"/>
  <c r="AI55" i="30"/>
  <c r="AD55" i="30"/>
  <c r="U55" i="30"/>
  <c r="R55" i="30"/>
  <c r="S55" i="30" s="1"/>
  <c r="Q55" i="30"/>
  <c r="P55" i="30"/>
  <c r="G55" i="30"/>
  <c r="F55" i="30"/>
  <c r="C55" i="30"/>
  <c r="H55" i="30" s="1"/>
  <c r="B55" i="30"/>
  <c r="DC54" i="30"/>
  <c r="CU54" i="30"/>
  <c r="CG54" i="30"/>
  <c r="CI54" i="30" s="1"/>
  <c r="CB54" i="30"/>
  <c r="BW54" i="30"/>
  <c r="BY54" i="30" s="1"/>
  <c r="BR54" i="30"/>
  <c r="BM54" i="30"/>
  <c r="BO54" i="30" s="1"/>
  <c r="BH54" i="30"/>
  <c r="BC54" i="30"/>
  <c r="BE54" i="30" s="1"/>
  <c r="AX54" i="30"/>
  <c r="AS54" i="30"/>
  <c r="AU54" i="30" s="1"/>
  <c r="AN54" i="30"/>
  <c r="AL54" i="30"/>
  <c r="AJ54" i="30"/>
  <c r="CM54" i="30" s="1"/>
  <c r="AI54" i="30"/>
  <c r="AD54" i="30"/>
  <c r="U54" i="30"/>
  <c r="R54" i="30"/>
  <c r="T54" i="30" s="1"/>
  <c r="Q54" i="30"/>
  <c r="P54" i="30"/>
  <c r="G54" i="30"/>
  <c r="F54" i="30" s="1"/>
  <c r="C54" i="30"/>
  <c r="B54" i="30"/>
  <c r="CG53" i="30"/>
  <c r="CB53" i="30"/>
  <c r="BW53" i="30"/>
  <c r="BR53" i="30"/>
  <c r="BM53" i="30"/>
  <c r="BH53" i="30"/>
  <c r="BC53" i="30"/>
  <c r="AX53" i="30"/>
  <c r="AS53" i="30"/>
  <c r="AN53" i="30"/>
  <c r="AL53" i="30"/>
  <c r="AJ53" i="30"/>
  <c r="CM53" i="30" s="1"/>
  <c r="AI53" i="30"/>
  <c r="AD53" i="30"/>
  <c r="U53" i="30"/>
  <c r="R53" i="30"/>
  <c r="Q53" i="30"/>
  <c r="P53" i="30"/>
  <c r="G53" i="30"/>
  <c r="F53" i="30"/>
  <c r="C53" i="30"/>
  <c r="H53" i="30" s="1"/>
  <c r="B53" i="30"/>
  <c r="DE52" i="30"/>
  <c r="DA52" i="30"/>
  <c r="CW52" i="30"/>
  <c r="CS52" i="30"/>
  <c r="CO52" i="30"/>
  <c r="CI52" i="30"/>
  <c r="CG52" i="30"/>
  <c r="DG52" i="30" s="1"/>
  <c r="CD52" i="30"/>
  <c r="CB52" i="30"/>
  <c r="BY52" i="30"/>
  <c r="BW52" i="30"/>
  <c r="DC52" i="30" s="1"/>
  <c r="BT52" i="30"/>
  <c r="BR52" i="30"/>
  <c r="BO52" i="30"/>
  <c r="BM52" i="30"/>
  <c r="CY52" i="30" s="1"/>
  <c r="BJ52" i="30"/>
  <c r="BH52" i="30"/>
  <c r="BE52" i="30"/>
  <c r="BC52" i="30"/>
  <c r="CU52" i="30" s="1"/>
  <c r="AZ52" i="30"/>
  <c r="AX52" i="30"/>
  <c r="AU52" i="30"/>
  <c r="AS52" i="30"/>
  <c r="CQ52" i="30" s="1"/>
  <c r="AP52" i="30"/>
  <c r="AN52" i="30"/>
  <c r="AL52" i="30"/>
  <c r="AJ52" i="30"/>
  <c r="CM52" i="30" s="1"/>
  <c r="AI52" i="30"/>
  <c r="AD52" i="30"/>
  <c r="U52" i="30"/>
  <c r="R52" i="30"/>
  <c r="S52" i="30" s="1"/>
  <c r="Q52" i="30"/>
  <c r="P52" i="30"/>
  <c r="G52" i="30"/>
  <c r="F52" i="30" s="1"/>
  <c r="C52" i="30"/>
  <c r="B52" i="30"/>
  <c r="CG51" i="30"/>
  <c r="CB51" i="30"/>
  <c r="BW51" i="30"/>
  <c r="BR51" i="30"/>
  <c r="BM51" i="30"/>
  <c r="BH51" i="30"/>
  <c r="BC51" i="30"/>
  <c r="AX51" i="30"/>
  <c r="AS51" i="30"/>
  <c r="AN51" i="30"/>
  <c r="AL51" i="30"/>
  <c r="AJ51" i="30"/>
  <c r="CM51" i="30" s="1"/>
  <c r="AI51" i="30"/>
  <c r="AD51" i="30"/>
  <c r="U51" i="30"/>
  <c r="R51" i="30"/>
  <c r="S51" i="30" s="1"/>
  <c r="Q51" i="30"/>
  <c r="P51" i="30"/>
  <c r="H51" i="30"/>
  <c r="G51" i="30"/>
  <c r="F51" i="30"/>
  <c r="C51" i="30"/>
  <c r="B51" i="30"/>
  <c r="DE50" i="30"/>
  <c r="DC50" i="30"/>
  <c r="CU50" i="30"/>
  <c r="CS50" i="30"/>
  <c r="CM50" i="30"/>
  <c r="CI50" i="30"/>
  <c r="CG50" i="30"/>
  <c r="DG50" i="30" s="1"/>
  <c r="CB50" i="30"/>
  <c r="CD50" i="30" s="1"/>
  <c r="BY50" i="30"/>
  <c r="BW50" i="30"/>
  <c r="BR50" i="30"/>
  <c r="DA50" i="30" s="1"/>
  <c r="BO50" i="30"/>
  <c r="BM50" i="30"/>
  <c r="CY50" i="30" s="1"/>
  <c r="BH50" i="30"/>
  <c r="BJ50" i="30" s="1"/>
  <c r="BE50" i="30"/>
  <c r="BC50" i="30"/>
  <c r="AX50" i="30"/>
  <c r="AZ50" i="30" s="1"/>
  <c r="AU50" i="30"/>
  <c r="AS50" i="30"/>
  <c r="CQ50" i="30" s="1"/>
  <c r="AN50" i="30"/>
  <c r="CO50" i="30" s="1"/>
  <c r="AL50" i="30"/>
  <c r="AJ50" i="30"/>
  <c r="AI50" i="30"/>
  <c r="AD50" i="30"/>
  <c r="U50" i="30"/>
  <c r="R50" i="30"/>
  <c r="Q50" i="30"/>
  <c r="P50" i="30"/>
  <c r="G50" i="30"/>
  <c r="F50" i="30" s="1"/>
  <c r="C50" i="30"/>
  <c r="B50" i="30"/>
  <c r="DG49" i="30"/>
  <c r="CI49" i="30"/>
  <c r="CG49" i="30"/>
  <c r="CB49" i="30"/>
  <c r="DE49" i="30" s="1"/>
  <c r="BW49" i="30"/>
  <c r="DC49" i="30" s="1"/>
  <c r="BR49" i="30"/>
  <c r="DA49" i="30" s="1"/>
  <c r="BM49" i="30"/>
  <c r="BH49" i="30"/>
  <c r="CW49" i="30" s="1"/>
  <c r="BE49" i="30"/>
  <c r="BC49" i="30"/>
  <c r="AX49" i="30"/>
  <c r="CS49" i="30" s="1"/>
  <c r="AS49" i="30"/>
  <c r="CQ49" i="30" s="1"/>
  <c r="AN49" i="30"/>
  <c r="AP49" i="30" s="1"/>
  <c r="AL49" i="30"/>
  <c r="AJ49" i="30"/>
  <c r="CM49" i="30" s="1"/>
  <c r="AI49" i="30"/>
  <c r="AD49" i="30"/>
  <c r="U49" i="30"/>
  <c r="R49" i="30"/>
  <c r="S49" i="30" s="1"/>
  <c r="Q49" i="30"/>
  <c r="P49" i="30"/>
  <c r="G49" i="30"/>
  <c r="F49" i="30"/>
  <c r="C49" i="30"/>
  <c r="H49" i="30" s="1"/>
  <c r="B49" i="30"/>
  <c r="CY48" i="30"/>
  <c r="CG48" i="30"/>
  <c r="CI48" i="30" s="1"/>
  <c r="CB48" i="30"/>
  <c r="BW48" i="30"/>
  <c r="BY48" i="30" s="1"/>
  <c r="BR48" i="30"/>
  <c r="DA48" i="30" s="1"/>
  <c r="BO48" i="30"/>
  <c r="BM48" i="30"/>
  <c r="BH48" i="30"/>
  <c r="BC48" i="30"/>
  <c r="BE48" i="30" s="1"/>
  <c r="AX48" i="30"/>
  <c r="CS48" i="30" s="1"/>
  <c r="AU48" i="30"/>
  <c r="AS48" i="30"/>
  <c r="CQ48" i="30" s="1"/>
  <c r="AN48" i="30"/>
  <c r="AL48" i="30"/>
  <c r="AJ48" i="30"/>
  <c r="CM48" i="30" s="1"/>
  <c r="AI48" i="30"/>
  <c r="AD48" i="30"/>
  <c r="U48" i="30"/>
  <c r="G48" i="30"/>
  <c r="F48" i="30" s="1"/>
  <c r="C48" i="30"/>
  <c r="B48" i="30"/>
  <c r="CG47" i="30"/>
  <c r="CB47" i="30"/>
  <c r="CD47" i="30" s="1"/>
  <c r="BW47" i="30"/>
  <c r="BR47" i="30"/>
  <c r="BT47" i="30" s="1"/>
  <c r="BM47" i="30"/>
  <c r="BH47" i="30"/>
  <c r="BJ47" i="30" s="1"/>
  <c r="BC47" i="30"/>
  <c r="AX47" i="30"/>
  <c r="AZ47" i="30" s="1"/>
  <c r="AS47" i="30"/>
  <c r="AN47" i="30"/>
  <c r="AP47" i="30" s="1"/>
  <c r="AL47" i="30"/>
  <c r="AJ47" i="30"/>
  <c r="CM47" i="30" s="1"/>
  <c r="AI47" i="30"/>
  <c r="AD47" i="30"/>
  <c r="U47" i="30"/>
  <c r="H47" i="30"/>
  <c r="G47" i="30"/>
  <c r="F47" i="30"/>
  <c r="C47" i="30"/>
  <c r="B47" i="30"/>
  <c r="CY46" i="30"/>
  <c r="CQ46" i="30"/>
  <c r="CG46" i="30"/>
  <c r="DG46" i="30" s="1"/>
  <c r="CB46" i="30"/>
  <c r="DE46" i="30" s="1"/>
  <c r="BW46" i="30"/>
  <c r="DC46" i="30" s="1"/>
  <c r="BR46" i="30"/>
  <c r="DA46" i="30" s="1"/>
  <c r="BM46" i="30"/>
  <c r="BO46" i="30" s="1"/>
  <c r="BH46" i="30"/>
  <c r="CW46" i="30" s="1"/>
  <c r="BC46" i="30"/>
  <c r="CU46" i="30" s="1"/>
  <c r="AX46" i="30"/>
  <c r="CS46" i="30" s="1"/>
  <c r="AS46" i="30"/>
  <c r="AU46" i="30" s="1"/>
  <c r="AN46" i="30"/>
  <c r="AP46" i="30" s="1"/>
  <c r="AL46" i="30"/>
  <c r="AJ46" i="30"/>
  <c r="CM46" i="30" s="1"/>
  <c r="AD46" i="30"/>
  <c r="Z46" i="30"/>
  <c r="Y46" i="30"/>
  <c r="X46" i="30"/>
  <c r="U46" i="30"/>
  <c r="G46" i="30"/>
  <c r="F46" i="30" s="1"/>
  <c r="C46" i="30"/>
  <c r="B46" i="30"/>
  <c r="CG45" i="30"/>
  <c r="CB45" i="30"/>
  <c r="BW45" i="30"/>
  <c r="BR45" i="30"/>
  <c r="BM45" i="30"/>
  <c r="BH45" i="30"/>
  <c r="BC45" i="30"/>
  <c r="AX45" i="30"/>
  <c r="AS45" i="30"/>
  <c r="AN45" i="30"/>
  <c r="AL45" i="30"/>
  <c r="AJ45" i="30"/>
  <c r="CM45" i="30" s="1"/>
  <c r="AI45" i="30"/>
  <c r="AD45" i="30"/>
  <c r="U45" i="30"/>
  <c r="H45" i="30"/>
  <c r="G45" i="30"/>
  <c r="F45" i="30"/>
  <c r="C45" i="30"/>
  <c r="B45" i="30"/>
  <c r="DC44" i="30"/>
  <c r="CU44" i="30"/>
  <c r="CM44" i="30"/>
  <c r="CG44" i="30"/>
  <c r="CI44" i="30" s="1"/>
  <c r="CB44" i="30"/>
  <c r="DE44" i="30" s="1"/>
  <c r="BW44" i="30"/>
  <c r="BY44" i="30" s="1"/>
  <c r="BR44" i="30"/>
  <c r="DA44" i="30" s="1"/>
  <c r="BM44" i="30"/>
  <c r="BO44" i="30" s="1"/>
  <c r="BH44" i="30"/>
  <c r="CW44" i="30" s="1"/>
  <c r="BC44" i="30"/>
  <c r="BE44" i="30" s="1"/>
  <c r="AX44" i="30"/>
  <c r="CS44" i="30" s="1"/>
  <c r="AS44" i="30"/>
  <c r="AU44" i="30" s="1"/>
  <c r="AN44" i="30"/>
  <c r="CO44" i="30" s="1"/>
  <c r="AL44" i="30"/>
  <c r="AJ44" i="30"/>
  <c r="AI44" i="30"/>
  <c r="AD44" i="30"/>
  <c r="Z44" i="30"/>
  <c r="Y44" i="30"/>
  <c r="X44" i="30"/>
  <c r="U44" i="30"/>
  <c r="G44" i="30"/>
  <c r="C44" i="30"/>
  <c r="B44" i="30"/>
  <c r="CG43" i="30"/>
  <c r="DG43" i="30" s="1"/>
  <c r="CB43" i="30"/>
  <c r="DE43" i="30" s="1"/>
  <c r="BW43" i="30"/>
  <c r="DC43" i="30" s="1"/>
  <c r="BR43" i="30"/>
  <c r="DA43" i="30" s="1"/>
  <c r="BM43" i="30"/>
  <c r="CY43" i="30" s="1"/>
  <c r="BH43" i="30"/>
  <c r="CW43" i="30" s="1"/>
  <c r="BC43" i="30"/>
  <c r="CU43" i="30" s="1"/>
  <c r="AX43" i="30"/>
  <c r="CS43" i="30" s="1"/>
  <c r="AS43" i="30"/>
  <c r="CQ43" i="30" s="1"/>
  <c r="AN43" i="30"/>
  <c r="CO43" i="30" s="1"/>
  <c r="AL43" i="30"/>
  <c r="AJ43" i="30"/>
  <c r="CM43" i="30" s="1"/>
  <c r="AI43" i="30"/>
  <c r="AD43" i="30"/>
  <c r="Z43" i="30"/>
  <c r="Y43" i="30"/>
  <c r="X43" i="30"/>
  <c r="U43" i="30"/>
  <c r="H43" i="30"/>
  <c r="G43" i="30"/>
  <c r="F43" i="30"/>
  <c r="C43" i="30"/>
  <c r="B43" i="30"/>
  <c r="DE42" i="30"/>
  <c r="DA42" i="30"/>
  <c r="CW42" i="30"/>
  <c r="CS42" i="30"/>
  <c r="CO42" i="30"/>
  <c r="CG42" i="30"/>
  <c r="CI42" i="30" s="1"/>
  <c r="CD42" i="30"/>
  <c r="CB42" i="30"/>
  <c r="BW42" i="30"/>
  <c r="DC42" i="30" s="1"/>
  <c r="BT42" i="30"/>
  <c r="BR42" i="30"/>
  <c r="BM42" i="30"/>
  <c r="BO42" i="30" s="1"/>
  <c r="BJ42" i="30"/>
  <c r="BH42" i="30"/>
  <c r="BC42" i="30"/>
  <c r="CU42" i="30" s="1"/>
  <c r="AZ42" i="30"/>
  <c r="AX42" i="30"/>
  <c r="AS42" i="30"/>
  <c r="AU42" i="30" s="1"/>
  <c r="AP42" i="30"/>
  <c r="AN42" i="30"/>
  <c r="AL42" i="30"/>
  <c r="AJ42" i="30"/>
  <c r="CM42" i="30" s="1"/>
  <c r="AI42" i="30"/>
  <c r="AD42" i="30"/>
  <c r="U42" i="30"/>
  <c r="G42" i="30"/>
  <c r="F42" i="30" s="1"/>
  <c r="C42" i="30"/>
  <c r="B42" i="30"/>
  <c r="CG41" i="30"/>
  <c r="CB41" i="30"/>
  <c r="BW41" i="30"/>
  <c r="BR41" i="30"/>
  <c r="BM41" i="30"/>
  <c r="BH41" i="30"/>
  <c r="BC41" i="30"/>
  <c r="AX41" i="30"/>
  <c r="AS41" i="30"/>
  <c r="AN41" i="30"/>
  <c r="AL41" i="30"/>
  <c r="AJ41" i="30"/>
  <c r="CM41" i="30" s="1"/>
  <c r="AI41" i="30"/>
  <c r="AD41" i="30"/>
  <c r="U41" i="30"/>
  <c r="G41" i="30"/>
  <c r="F41" i="30"/>
  <c r="C41" i="30"/>
  <c r="H41" i="30" s="1"/>
  <c r="B41" i="30"/>
  <c r="DE40" i="30"/>
  <c r="DA40" i="30"/>
  <c r="CW40" i="30"/>
  <c r="CS40" i="30"/>
  <c r="CO40" i="30"/>
  <c r="CG40" i="30"/>
  <c r="CI40" i="30" s="1"/>
  <c r="CD40" i="30"/>
  <c r="CB40" i="30"/>
  <c r="BW40" i="30"/>
  <c r="DC40" i="30" s="1"/>
  <c r="BT40" i="30"/>
  <c r="BR40" i="30"/>
  <c r="BM40" i="30"/>
  <c r="BO40" i="30" s="1"/>
  <c r="BJ40" i="30"/>
  <c r="BH40" i="30"/>
  <c r="BC40" i="30"/>
  <c r="CU40" i="30" s="1"/>
  <c r="AZ40" i="30"/>
  <c r="AX40" i="30"/>
  <c r="AS40" i="30"/>
  <c r="AU40" i="30" s="1"/>
  <c r="AP40" i="30"/>
  <c r="AN40" i="30"/>
  <c r="AL40" i="30"/>
  <c r="AJ40" i="30"/>
  <c r="CM40" i="30" s="1"/>
  <c r="AI40" i="30"/>
  <c r="AD40" i="30"/>
  <c r="U40" i="30"/>
  <c r="G40" i="30"/>
  <c r="C40" i="30"/>
  <c r="B40" i="30"/>
  <c r="CG39" i="30"/>
  <c r="DG39" i="30" s="1"/>
  <c r="CB39" i="30"/>
  <c r="DE39" i="30" s="1"/>
  <c r="BW39" i="30"/>
  <c r="DC39" i="30" s="1"/>
  <c r="BR39" i="30"/>
  <c r="DA39" i="30" s="1"/>
  <c r="BM39" i="30"/>
  <c r="CY39" i="30" s="1"/>
  <c r="BH39" i="30"/>
  <c r="CW39" i="30" s="1"/>
  <c r="BC39" i="30"/>
  <c r="CU39" i="30" s="1"/>
  <c r="AX39" i="30"/>
  <c r="CS39" i="30" s="1"/>
  <c r="AS39" i="30"/>
  <c r="CQ39" i="30" s="1"/>
  <c r="AN39" i="30"/>
  <c r="CO39" i="30" s="1"/>
  <c r="AL39" i="30"/>
  <c r="AJ39" i="30"/>
  <c r="CM39" i="30" s="1"/>
  <c r="AI39" i="30"/>
  <c r="AD39" i="30"/>
  <c r="U39" i="30"/>
  <c r="G39" i="30"/>
  <c r="F39" i="30"/>
  <c r="C39" i="30"/>
  <c r="H39" i="30" s="1"/>
  <c r="B39" i="30"/>
  <c r="DE38" i="30"/>
  <c r="DA38" i="30"/>
  <c r="CW38" i="30"/>
  <c r="CS38" i="30"/>
  <c r="CO38" i="30"/>
  <c r="CG38" i="30"/>
  <c r="CI38" i="30" s="1"/>
  <c r="CD38" i="30"/>
  <c r="CB38" i="30"/>
  <c r="BW38" i="30"/>
  <c r="DC38" i="30" s="1"/>
  <c r="BT38" i="30"/>
  <c r="BR38" i="30"/>
  <c r="BM38" i="30"/>
  <c r="BO38" i="30" s="1"/>
  <c r="BJ38" i="30"/>
  <c r="BH38" i="30"/>
  <c r="BC38" i="30"/>
  <c r="CU38" i="30" s="1"/>
  <c r="AZ38" i="30"/>
  <c r="AX38" i="30"/>
  <c r="AS38" i="30"/>
  <c r="AU38" i="30" s="1"/>
  <c r="AP38" i="30"/>
  <c r="AN38" i="30"/>
  <c r="AL38" i="30"/>
  <c r="AJ38" i="30"/>
  <c r="CM38" i="30" s="1"/>
  <c r="AI38" i="30"/>
  <c r="AD38" i="30"/>
  <c r="U38" i="30"/>
  <c r="G38" i="30"/>
  <c r="F38" i="30" s="1"/>
  <c r="C38" i="30"/>
  <c r="B38" i="30"/>
  <c r="CG37" i="30"/>
  <c r="CB37" i="30"/>
  <c r="BW37" i="30"/>
  <c r="BR37" i="30"/>
  <c r="BM37" i="30"/>
  <c r="BH37" i="30"/>
  <c r="BC37" i="30"/>
  <c r="AX37" i="30"/>
  <c r="AS37" i="30"/>
  <c r="AN37" i="30"/>
  <c r="AL37" i="30"/>
  <c r="AJ37" i="30"/>
  <c r="CM37" i="30" s="1"/>
  <c r="AI37" i="30"/>
  <c r="AD37" i="30"/>
  <c r="U37" i="30"/>
  <c r="H37" i="30"/>
  <c r="G37" i="30"/>
  <c r="F37" i="30"/>
  <c r="C37" i="30"/>
  <c r="B37" i="30"/>
  <c r="DA36" i="30"/>
  <c r="CS36" i="30"/>
  <c r="CG36" i="30"/>
  <c r="CI36" i="30" s="1"/>
  <c r="CB36" i="30"/>
  <c r="DE36" i="30" s="1"/>
  <c r="BW36" i="30"/>
  <c r="DC36" i="30" s="1"/>
  <c r="BR36" i="30"/>
  <c r="BT36" i="30" s="1"/>
  <c r="BM36" i="30"/>
  <c r="BO36" i="30" s="1"/>
  <c r="BH36" i="30"/>
  <c r="CW36" i="30" s="1"/>
  <c r="BC36" i="30"/>
  <c r="CU36" i="30" s="1"/>
  <c r="AX36" i="30"/>
  <c r="AZ36" i="30" s="1"/>
  <c r="AS36" i="30"/>
  <c r="AU36" i="30" s="1"/>
  <c r="AN36" i="30"/>
  <c r="CO36" i="30" s="1"/>
  <c r="AL36" i="30"/>
  <c r="AJ36" i="30"/>
  <c r="CM36" i="30" s="1"/>
  <c r="AI36" i="30"/>
  <c r="AD36" i="30"/>
  <c r="Z36" i="30"/>
  <c r="Y36" i="30"/>
  <c r="X36" i="30"/>
  <c r="U36" i="30"/>
  <c r="G36" i="30"/>
  <c r="F36" i="30" s="1"/>
  <c r="C36" i="30"/>
  <c r="B36" i="30"/>
  <c r="CG35" i="30"/>
  <c r="CB35" i="30"/>
  <c r="BW35" i="30"/>
  <c r="BR35" i="30"/>
  <c r="BM35" i="30"/>
  <c r="BH35" i="30"/>
  <c r="BC35" i="30"/>
  <c r="AX35" i="30"/>
  <c r="AS35" i="30"/>
  <c r="AN35" i="30"/>
  <c r="AL35" i="30"/>
  <c r="AJ35" i="30"/>
  <c r="CM35" i="30" s="1"/>
  <c r="AI35" i="30"/>
  <c r="AD35" i="30"/>
  <c r="U35" i="30"/>
  <c r="G35" i="30"/>
  <c r="F35" i="30"/>
  <c r="C35" i="30"/>
  <c r="H35" i="30" s="1"/>
  <c r="B35" i="30"/>
  <c r="DC34" i="30"/>
  <c r="CU34" i="30"/>
  <c r="CM34" i="30"/>
  <c r="CG34" i="30"/>
  <c r="CI34" i="30" s="1"/>
  <c r="CB34" i="30"/>
  <c r="DE34" i="30" s="1"/>
  <c r="BW34" i="30"/>
  <c r="BY34" i="30" s="1"/>
  <c r="BR34" i="30"/>
  <c r="DA34" i="30" s="1"/>
  <c r="BM34" i="30"/>
  <c r="BO34" i="30" s="1"/>
  <c r="BH34" i="30"/>
  <c r="CW34" i="30" s="1"/>
  <c r="BC34" i="30"/>
  <c r="BE34" i="30" s="1"/>
  <c r="AX34" i="30"/>
  <c r="CS34" i="30" s="1"/>
  <c r="AS34" i="30"/>
  <c r="AU34" i="30" s="1"/>
  <c r="AN34" i="30"/>
  <c r="CO34" i="30" s="1"/>
  <c r="AL34" i="30"/>
  <c r="AJ34" i="30"/>
  <c r="AI34" i="30"/>
  <c r="AD34" i="30"/>
  <c r="U34" i="30"/>
  <c r="G34" i="30"/>
  <c r="F34" i="30" s="1"/>
  <c r="C34" i="30"/>
  <c r="H34" i="30" s="1"/>
  <c r="B34" i="30"/>
  <c r="CG33" i="30"/>
  <c r="CB33" i="30"/>
  <c r="CD33" i="30" s="1"/>
  <c r="BW33" i="30"/>
  <c r="BR33" i="30"/>
  <c r="BT33" i="30" s="1"/>
  <c r="BM33" i="30"/>
  <c r="BH33" i="30"/>
  <c r="BJ33" i="30" s="1"/>
  <c r="BC33" i="30"/>
  <c r="AX33" i="30"/>
  <c r="AZ33" i="30" s="1"/>
  <c r="AS33" i="30"/>
  <c r="AN33" i="30"/>
  <c r="AP33" i="30" s="1"/>
  <c r="AL33" i="30"/>
  <c r="AJ33" i="30"/>
  <c r="CM33" i="30" s="1"/>
  <c r="AI33" i="30"/>
  <c r="AD33" i="30"/>
  <c r="U33" i="30"/>
  <c r="H33" i="30"/>
  <c r="G33" i="30"/>
  <c r="F33" i="30"/>
  <c r="C33" i="30"/>
  <c r="B33" i="30"/>
  <c r="DE32" i="30"/>
  <c r="DA32" i="30"/>
  <c r="CW32" i="30"/>
  <c r="CS32" i="30"/>
  <c r="CO32" i="30"/>
  <c r="CG32" i="30"/>
  <c r="CI32" i="30" s="1"/>
  <c r="CD32" i="30"/>
  <c r="CB32" i="30"/>
  <c r="BW32" i="30"/>
  <c r="DC32" i="30" s="1"/>
  <c r="BT32" i="30"/>
  <c r="BR32" i="30"/>
  <c r="BM32" i="30"/>
  <c r="BO32" i="30" s="1"/>
  <c r="BJ32" i="30"/>
  <c r="BH32" i="30"/>
  <c r="BC32" i="30"/>
  <c r="CU32" i="30" s="1"/>
  <c r="AZ32" i="30"/>
  <c r="AX32" i="30"/>
  <c r="AS32" i="30"/>
  <c r="AU32" i="30" s="1"/>
  <c r="AP32" i="30"/>
  <c r="AN32" i="30"/>
  <c r="AL32" i="30"/>
  <c r="AJ32" i="30"/>
  <c r="CM32" i="30" s="1"/>
  <c r="AD32" i="30"/>
  <c r="U32" i="30"/>
  <c r="G32" i="30"/>
  <c r="F32" i="30"/>
  <c r="C32" i="30"/>
  <c r="B32" i="30"/>
  <c r="DG31" i="30"/>
  <c r="CY31" i="30"/>
  <c r="CU31" i="30"/>
  <c r="CI31" i="30"/>
  <c r="CG31" i="30"/>
  <c r="CB31" i="30"/>
  <c r="DE31" i="30" s="1"/>
  <c r="BY31" i="30"/>
  <c r="BW31" i="30"/>
  <c r="DC31" i="30" s="1"/>
  <c r="BR31" i="30"/>
  <c r="DA31" i="30" s="1"/>
  <c r="BO31" i="30"/>
  <c r="BM31" i="30"/>
  <c r="BH31" i="30"/>
  <c r="CW31" i="30" s="1"/>
  <c r="BE31" i="30"/>
  <c r="BC31" i="30"/>
  <c r="AX31" i="30"/>
  <c r="CS31" i="30" s="1"/>
  <c r="AU31" i="30"/>
  <c r="AS31" i="30"/>
  <c r="CQ31" i="30" s="1"/>
  <c r="AN31" i="30"/>
  <c r="CO31" i="30" s="1"/>
  <c r="AL31" i="30"/>
  <c r="AJ31" i="30"/>
  <c r="CM31" i="30" s="1"/>
  <c r="AI31" i="30"/>
  <c r="AD31" i="30"/>
  <c r="U31" i="30"/>
  <c r="G31" i="30"/>
  <c r="F31" i="30"/>
  <c r="C31" i="30"/>
  <c r="H31" i="30" s="1"/>
  <c r="B31" i="30"/>
  <c r="CG30" i="30"/>
  <c r="CB30" i="30"/>
  <c r="DE30" i="30" s="1"/>
  <c r="BW30" i="30"/>
  <c r="BR30" i="30"/>
  <c r="DA30" i="30" s="1"/>
  <c r="BM30" i="30"/>
  <c r="BH30" i="30"/>
  <c r="CW30" i="30" s="1"/>
  <c r="BC30" i="30"/>
  <c r="AX30" i="30"/>
  <c r="CS30" i="30" s="1"/>
  <c r="AS30" i="30"/>
  <c r="AN30" i="30"/>
  <c r="CO30" i="30" s="1"/>
  <c r="AL30" i="30"/>
  <c r="AJ30" i="30"/>
  <c r="CM30" i="30" s="1"/>
  <c r="AI30" i="30"/>
  <c r="AD30" i="30"/>
  <c r="Z30" i="30"/>
  <c r="Y30" i="30"/>
  <c r="X30" i="30"/>
  <c r="U30" i="30"/>
  <c r="H30" i="30"/>
  <c r="G30" i="30"/>
  <c r="F30" i="30" s="1"/>
  <c r="C30" i="30"/>
  <c r="B30" i="30"/>
  <c r="DE29" i="30"/>
  <c r="DA29" i="30"/>
  <c r="CO29" i="30"/>
  <c r="CG29" i="30"/>
  <c r="CB29" i="30"/>
  <c r="BW29" i="30"/>
  <c r="BR29" i="30"/>
  <c r="BM29" i="30"/>
  <c r="BH29" i="30"/>
  <c r="CW29" i="30" s="1"/>
  <c r="BC29" i="30"/>
  <c r="AX29" i="30"/>
  <c r="CS29" i="30" s="1"/>
  <c r="AS29" i="30"/>
  <c r="AN29" i="30"/>
  <c r="AL29" i="30"/>
  <c r="AJ29" i="30"/>
  <c r="CM29" i="30" s="1"/>
  <c r="AI29" i="30"/>
  <c r="AD29" i="30"/>
  <c r="U29" i="30"/>
  <c r="G29" i="30"/>
  <c r="F29" i="30" s="1"/>
  <c r="C29" i="30"/>
  <c r="B29" i="30"/>
  <c r="DG28" i="30"/>
  <c r="DA28" i="30"/>
  <c r="CW28" i="30"/>
  <c r="CS28" i="30"/>
  <c r="CG28" i="30"/>
  <c r="CI28" i="30" s="1"/>
  <c r="CD28" i="30"/>
  <c r="CB28" i="30"/>
  <c r="DE28" i="30" s="1"/>
  <c r="BW28" i="30"/>
  <c r="DC28" i="30" s="1"/>
  <c r="BT28" i="30"/>
  <c r="BR28" i="30"/>
  <c r="BM28" i="30"/>
  <c r="CY28" i="30" s="1"/>
  <c r="BJ28" i="30"/>
  <c r="BH28" i="30"/>
  <c r="BC28" i="30"/>
  <c r="CU28" i="30" s="1"/>
  <c r="AZ28" i="30"/>
  <c r="AX28" i="30"/>
  <c r="AS28" i="30"/>
  <c r="CQ28" i="30" s="1"/>
  <c r="AP28" i="30"/>
  <c r="AN28" i="30"/>
  <c r="CO28" i="30" s="1"/>
  <c r="AL28" i="30"/>
  <c r="AJ28" i="30"/>
  <c r="CM28" i="30" s="1"/>
  <c r="AI28" i="30"/>
  <c r="AD28" i="30"/>
  <c r="U28" i="30"/>
  <c r="G28" i="30"/>
  <c r="F28" i="30"/>
  <c r="C28" i="30"/>
  <c r="B28" i="30"/>
  <c r="DG27" i="30"/>
  <c r="DC27" i="30"/>
  <c r="CU27" i="30"/>
  <c r="CQ27" i="30"/>
  <c r="CI27" i="30"/>
  <c r="CG27" i="30"/>
  <c r="CB27" i="30"/>
  <c r="DE27" i="30" s="1"/>
  <c r="BY27" i="30"/>
  <c r="BW27" i="30"/>
  <c r="BR27" i="30"/>
  <c r="DA27" i="30" s="1"/>
  <c r="BO27" i="30"/>
  <c r="BM27" i="30"/>
  <c r="CY27" i="30" s="1"/>
  <c r="BH27" i="30"/>
  <c r="CW27" i="30" s="1"/>
  <c r="BE27" i="30"/>
  <c r="BC27" i="30"/>
  <c r="AX27" i="30"/>
  <c r="CS27" i="30" s="1"/>
  <c r="AU27" i="30"/>
  <c r="AS27" i="30"/>
  <c r="AN27" i="30"/>
  <c r="CO27" i="30" s="1"/>
  <c r="AL27" i="30"/>
  <c r="AJ27" i="30"/>
  <c r="CM27" i="30" s="1"/>
  <c r="AI27" i="30"/>
  <c r="AD27" i="30"/>
  <c r="U27" i="30"/>
  <c r="G27" i="30"/>
  <c r="F27" i="30"/>
  <c r="C27" i="30"/>
  <c r="H27" i="30" s="1"/>
  <c r="B27" i="30"/>
  <c r="CG26" i="30"/>
  <c r="CB26" i="30"/>
  <c r="DE26" i="30" s="1"/>
  <c r="BW26" i="30"/>
  <c r="BR26" i="30"/>
  <c r="DA26" i="30" s="1"/>
  <c r="BM26" i="30"/>
  <c r="BH26" i="30"/>
  <c r="CW26" i="30" s="1"/>
  <c r="BC26" i="30"/>
  <c r="AX26" i="30"/>
  <c r="CS26" i="30" s="1"/>
  <c r="AS26" i="30"/>
  <c r="AN26" i="30"/>
  <c r="CO26" i="30" s="1"/>
  <c r="AL26" i="30"/>
  <c r="AJ26" i="30"/>
  <c r="CM26" i="30" s="1"/>
  <c r="AI26" i="30"/>
  <c r="AD26" i="30"/>
  <c r="Z26" i="30"/>
  <c r="Y26" i="30"/>
  <c r="X26" i="30"/>
  <c r="U26" i="30"/>
  <c r="K26" i="30"/>
  <c r="G26" i="30"/>
  <c r="F26" i="30" s="1"/>
  <c r="C26" i="30"/>
  <c r="J26" i="30" s="1"/>
  <c r="B26" i="30"/>
  <c r="DE25" i="30"/>
  <c r="DA25" i="30"/>
  <c r="CO25" i="30"/>
  <c r="CG25" i="30"/>
  <c r="DG25" i="30" s="1"/>
  <c r="CB25" i="30"/>
  <c r="CD25" i="30" s="1"/>
  <c r="BW25" i="30"/>
  <c r="DC25" i="30" s="1"/>
  <c r="BR25" i="30"/>
  <c r="BT25" i="30" s="1"/>
  <c r="BM25" i="30"/>
  <c r="CY25" i="30" s="1"/>
  <c r="BH25" i="30"/>
  <c r="BJ25" i="30" s="1"/>
  <c r="BC25" i="30"/>
  <c r="CU25" i="30" s="1"/>
  <c r="AX25" i="30"/>
  <c r="AZ25" i="30" s="1"/>
  <c r="AS25" i="30"/>
  <c r="CQ25" i="30" s="1"/>
  <c r="AN25" i="30"/>
  <c r="AP25" i="30" s="1"/>
  <c r="Y12" i="13" s="1"/>
  <c r="AL25" i="30"/>
  <c r="AJ25" i="30"/>
  <c r="CM25" i="30" s="1"/>
  <c r="AI25" i="30"/>
  <c r="AD25" i="30"/>
  <c r="U25" i="30"/>
  <c r="K25" i="30"/>
  <c r="J25" i="30"/>
  <c r="G25" i="30"/>
  <c r="F25" i="30" s="1"/>
  <c r="C25" i="30"/>
  <c r="I25" i="30" s="1"/>
  <c r="B25" i="30"/>
  <c r="DC24" i="30"/>
  <c r="CU24" i="30"/>
  <c r="CM24" i="30"/>
  <c r="CG24" i="30"/>
  <c r="CI24" i="30" s="1"/>
  <c r="CB24" i="30"/>
  <c r="DE24" i="30" s="1"/>
  <c r="BW24" i="30"/>
  <c r="BY24" i="30" s="1"/>
  <c r="BR24" i="30"/>
  <c r="DA24" i="30" s="1"/>
  <c r="BM24" i="30"/>
  <c r="BO24" i="30" s="1"/>
  <c r="BH24" i="30"/>
  <c r="CW24" i="30" s="1"/>
  <c r="BC24" i="30"/>
  <c r="BE24" i="30" s="1"/>
  <c r="AX24" i="30"/>
  <c r="CS24" i="30" s="1"/>
  <c r="AS24" i="30"/>
  <c r="AU24" i="30" s="1"/>
  <c r="AN24" i="30"/>
  <c r="CO24" i="30" s="1"/>
  <c r="AL24" i="30"/>
  <c r="AJ24" i="30"/>
  <c r="AI24" i="30"/>
  <c r="AD24" i="30"/>
  <c r="U24" i="30"/>
  <c r="J24" i="30"/>
  <c r="G24" i="30"/>
  <c r="F24" i="30"/>
  <c r="C24" i="30"/>
  <c r="I24" i="30" s="1"/>
  <c r="B24" i="30"/>
  <c r="CG23" i="30"/>
  <c r="DG23" i="30" s="1"/>
  <c r="CB23" i="30"/>
  <c r="DE23" i="30" s="1"/>
  <c r="BW23" i="30"/>
  <c r="DC23" i="30" s="1"/>
  <c r="BR23" i="30"/>
  <c r="DA23" i="30" s="1"/>
  <c r="BM23" i="30"/>
  <c r="CY23" i="30" s="1"/>
  <c r="BH23" i="30"/>
  <c r="CW23" i="30" s="1"/>
  <c r="BC23" i="30"/>
  <c r="CU23" i="30" s="1"/>
  <c r="AX23" i="30"/>
  <c r="CS23" i="30" s="1"/>
  <c r="AS23" i="30"/>
  <c r="CQ23" i="30" s="1"/>
  <c r="AN23" i="30"/>
  <c r="CO23" i="30" s="1"/>
  <c r="AL23" i="30"/>
  <c r="AJ23" i="30"/>
  <c r="CM23" i="30" s="1"/>
  <c r="AD23" i="30"/>
  <c r="U23" i="30"/>
  <c r="G23" i="30"/>
  <c r="F23" i="30"/>
  <c r="C23" i="30"/>
  <c r="B23" i="30"/>
  <c r="CG22" i="30"/>
  <c r="CB22" i="30"/>
  <c r="DE22" i="30" s="1"/>
  <c r="BW22" i="30"/>
  <c r="BR22" i="30"/>
  <c r="DA22" i="30" s="1"/>
  <c r="BM22" i="30"/>
  <c r="BH22" i="30"/>
  <c r="CW22" i="30" s="1"/>
  <c r="BC22" i="30"/>
  <c r="AX22" i="30"/>
  <c r="CS22" i="30" s="1"/>
  <c r="AS22" i="30"/>
  <c r="AN22" i="30"/>
  <c r="CO22" i="30" s="1"/>
  <c r="AL22" i="30"/>
  <c r="AJ22" i="30"/>
  <c r="CM22" i="30" s="1"/>
  <c r="AD22" i="30"/>
  <c r="Z22" i="30"/>
  <c r="Y22" i="30"/>
  <c r="X22" i="30"/>
  <c r="U22" i="30"/>
  <c r="G22" i="30"/>
  <c r="F22" i="30"/>
  <c r="C22" i="30"/>
  <c r="B22" i="30"/>
  <c r="CG21" i="30"/>
  <c r="CB21" i="30"/>
  <c r="DE21" i="30" s="1"/>
  <c r="BW21" i="30"/>
  <c r="DC21" i="30" s="1"/>
  <c r="BR21" i="30"/>
  <c r="DA21" i="30" s="1"/>
  <c r="BM21" i="30"/>
  <c r="BH21" i="30"/>
  <c r="CW21" i="30" s="1"/>
  <c r="BC21" i="30"/>
  <c r="CU21" i="30" s="1"/>
  <c r="AX21" i="30"/>
  <c r="CS21" i="30" s="1"/>
  <c r="AS21" i="30"/>
  <c r="AN21" i="30"/>
  <c r="CO21" i="30" s="1"/>
  <c r="AL21" i="30"/>
  <c r="AJ21" i="30"/>
  <c r="CM21" i="30" s="1"/>
  <c r="AD21" i="30"/>
  <c r="Z21" i="30"/>
  <c r="Y21" i="30"/>
  <c r="X21" i="30"/>
  <c r="U21" i="30"/>
  <c r="G21" i="30"/>
  <c r="F21" i="30"/>
  <c r="C21" i="30"/>
  <c r="H21" i="30" s="1"/>
  <c r="B21" i="30"/>
  <c r="AG17" i="30"/>
  <c r="AE23" i="30" s="1"/>
  <c r="AG16" i="30"/>
  <c r="AE22" i="30" s="1"/>
  <c r="G16" i="30"/>
  <c r="G15" i="30"/>
  <c r="G14" i="30"/>
  <c r="G13" i="30"/>
  <c r="G12" i="30"/>
  <c r="F12" i="30"/>
  <c r="E12" i="30"/>
  <c r="D12" i="30"/>
  <c r="G11" i="30"/>
  <c r="Z21" i="6"/>
  <c r="Z22" i="6"/>
  <c r="Z26" i="6"/>
  <c r="Z30" i="6"/>
  <c r="Z36" i="6"/>
  <c r="Z43" i="6"/>
  <c r="Z44" i="6"/>
  <c r="Z46" i="6"/>
  <c r="Y21" i="6"/>
  <c r="Y22" i="6"/>
  <c r="Y26" i="6"/>
  <c r="Y30" i="6"/>
  <c r="Y36" i="6"/>
  <c r="Y43" i="6"/>
  <c r="Y44" i="6"/>
  <c r="Y46" i="6"/>
  <c r="X21" i="6"/>
  <c r="X22" i="6"/>
  <c r="X26" i="6"/>
  <c r="X30" i="6"/>
  <c r="X36" i="6"/>
  <c r="X43" i="6"/>
  <c r="X44" i="6"/>
  <c r="X46" i="6"/>
  <c r="G197" i="26"/>
  <c r="G199" i="26"/>
  <c r="G509" i="26"/>
  <c r="D509" i="26"/>
  <c r="G489" i="26"/>
  <c r="D489" i="26"/>
  <c r="G446" i="26"/>
  <c r="D446" i="26"/>
  <c r="G435" i="26"/>
  <c r="D435" i="26"/>
  <c r="D429" i="26"/>
  <c r="G429" i="26"/>
  <c r="G412" i="26"/>
  <c r="D412" i="26"/>
  <c r="G372" i="26"/>
  <c r="G369" i="26"/>
  <c r="D372" i="26"/>
  <c r="D369" i="26"/>
  <c r="G358" i="26"/>
  <c r="D358" i="26"/>
  <c r="G325" i="26"/>
  <c r="D325" i="26"/>
  <c r="G295" i="26"/>
  <c r="D295" i="26"/>
  <c r="G293" i="26"/>
  <c r="D293" i="26"/>
  <c r="G311" i="26"/>
  <c r="D311" i="26"/>
  <c r="G309" i="26"/>
  <c r="D309" i="26"/>
  <c r="G303" i="26"/>
  <c r="D303" i="26"/>
  <c r="G301" i="26"/>
  <c r="D301" i="26"/>
  <c r="G287" i="26"/>
  <c r="D287" i="26"/>
  <c r="G285" i="26"/>
  <c r="D285" i="26"/>
  <c r="G254" i="26"/>
  <c r="D254" i="26"/>
  <c r="G252" i="26"/>
  <c r="D252" i="26"/>
  <c r="G236" i="26"/>
  <c r="D236" i="26"/>
  <c r="G227" i="26"/>
  <c r="D227" i="26"/>
  <c r="G245" i="26"/>
  <c r="D245" i="26"/>
  <c r="G243" i="26"/>
  <c r="D243" i="26"/>
  <c r="G234" i="26"/>
  <c r="D234" i="26"/>
  <c r="G225" i="26"/>
  <c r="D225" i="26"/>
  <c r="G214" i="26"/>
  <c r="D214" i="26"/>
  <c r="G146" i="26"/>
  <c r="D146" i="26"/>
  <c r="G36" i="26"/>
  <c r="D36" i="26"/>
  <c r="D199" i="26"/>
  <c r="D197" i="26"/>
  <c r="G107" i="26"/>
  <c r="D107" i="26"/>
  <c r="G96" i="26"/>
  <c r="D96" i="26"/>
  <c r="AD121" i="6"/>
  <c r="AI121" i="6"/>
  <c r="AJ121" i="6"/>
  <c r="CM121" i="6" s="1"/>
  <c r="AL121" i="6"/>
  <c r="AN121" i="6"/>
  <c r="AP121" i="6" s="1"/>
  <c r="AS121" i="6"/>
  <c r="AU121" i="6" s="1"/>
  <c r="AX121" i="6"/>
  <c r="AZ121" i="6" s="1"/>
  <c r="BC121" i="6"/>
  <c r="BE121" i="6" s="1"/>
  <c r="BH121" i="6"/>
  <c r="BJ121" i="6" s="1"/>
  <c r="BM121" i="6"/>
  <c r="BO121" i="6" s="1"/>
  <c r="BR121" i="6"/>
  <c r="BT121" i="6" s="1"/>
  <c r="BW121" i="6"/>
  <c r="BY121" i="6" s="1"/>
  <c r="CB121" i="6"/>
  <c r="CD121" i="6" s="1"/>
  <c r="CG121" i="6"/>
  <c r="CI121" i="6" s="1"/>
  <c r="AD120" i="6"/>
  <c r="AI120" i="6"/>
  <c r="AJ120" i="6"/>
  <c r="CM120" i="6" s="1"/>
  <c r="AL120" i="6"/>
  <c r="AN120" i="6"/>
  <c r="AP120" i="6" s="1"/>
  <c r="AS120" i="6"/>
  <c r="AU120" i="6" s="1"/>
  <c r="AX120" i="6"/>
  <c r="AZ120" i="6" s="1"/>
  <c r="BC120" i="6"/>
  <c r="BE120" i="6" s="1"/>
  <c r="BH120" i="6"/>
  <c r="BJ120" i="6" s="1"/>
  <c r="BM120" i="6"/>
  <c r="BO120" i="6" s="1"/>
  <c r="BR120" i="6"/>
  <c r="BT120" i="6" s="1"/>
  <c r="BW120" i="6"/>
  <c r="BY120" i="6" s="1"/>
  <c r="CB120" i="6"/>
  <c r="CD120" i="6" s="1"/>
  <c r="CG120" i="6"/>
  <c r="CI120" i="6" s="1"/>
  <c r="AD119" i="6"/>
  <c r="AI119" i="6"/>
  <c r="AJ119" i="6"/>
  <c r="CM119" i="6" s="1"/>
  <c r="AL119" i="6"/>
  <c r="AN119" i="6"/>
  <c r="AP119" i="6" s="1"/>
  <c r="AS119" i="6"/>
  <c r="AU119" i="6" s="1"/>
  <c r="AX119" i="6"/>
  <c r="AZ119" i="6" s="1"/>
  <c r="BC119" i="6"/>
  <c r="BE119" i="6" s="1"/>
  <c r="BH119" i="6"/>
  <c r="BJ119" i="6" s="1"/>
  <c r="BM119" i="6"/>
  <c r="BO119" i="6" s="1"/>
  <c r="BR119" i="6"/>
  <c r="BT119" i="6" s="1"/>
  <c r="BW119" i="6"/>
  <c r="BY119" i="6" s="1"/>
  <c r="CB119" i="6"/>
  <c r="CD119" i="6" s="1"/>
  <c r="CG119" i="6"/>
  <c r="CI119" i="6" s="1"/>
  <c r="AD118" i="6"/>
  <c r="AI118" i="6"/>
  <c r="AJ118" i="6"/>
  <c r="CM118" i="6" s="1"/>
  <c r="AL118" i="6"/>
  <c r="AN118" i="6"/>
  <c r="AS118" i="6"/>
  <c r="AU118" i="6" s="1"/>
  <c r="AX118" i="6"/>
  <c r="CS118" i="6" s="1"/>
  <c r="BC118" i="6"/>
  <c r="BE118" i="6" s="1"/>
  <c r="BH118" i="6"/>
  <c r="CW118" i="6" s="1"/>
  <c r="BM118" i="6"/>
  <c r="BO118" i="6" s="1"/>
  <c r="BR118" i="6"/>
  <c r="DA118" i="6" s="1"/>
  <c r="BW118" i="6"/>
  <c r="BY118" i="6" s="1"/>
  <c r="CB118" i="6"/>
  <c r="DE118" i="6" s="1"/>
  <c r="CG118" i="6"/>
  <c r="CI118" i="6" s="1"/>
  <c r="AD117" i="6"/>
  <c r="AI117" i="6"/>
  <c r="AJ117" i="6"/>
  <c r="CM117" i="6" s="1"/>
  <c r="AL117" i="6"/>
  <c r="AN117" i="6"/>
  <c r="AP117" i="6" s="1"/>
  <c r="AS117" i="6"/>
  <c r="AU117" i="6" s="1"/>
  <c r="AX117" i="6"/>
  <c r="AZ117" i="6" s="1"/>
  <c r="BC117" i="6"/>
  <c r="BE117" i="6" s="1"/>
  <c r="BH117" i="6"/>
  <c r="BJ117" i="6" s="1"/>
  <c r="BM117" i="6"/>
  <c r="BO117" i="6" s="1"/>
  <c r="BR117" i="6"/>
  <c r="DA117" i="6" s="1"/>
  <c r="BW117" i="6"/>
  <c r="DC117" i="6" s="1"/>
  <c r="CB117" i="6"/>
  <c r="CD117" i="6" s="1"/>
  <c r="CG117" i="6"/>
  <c r="CI117" i="6" s="1"/>
  <c r="AD116" i="6"/>
  <c r="AI116" i="6"/>
  <c r="AJ116" i="6"/>
  <c r="CM116" i="6" s="1"/>
  <c r="AL116" i="6"/>
  <c r="AN116" i="6"/>
  <c r="AS116" i="6"/>
  <c r="AX116" i="6"/>
  <c r="BC116" i="6"/>
  <c r="BH116" i="6"/>
  <c r="BM116" i="6"/>
  <c r="BR116" i="6"/>
  <c r="BW116" i="6"/>
  <c r="CB116" i="6"/>
  <c r="CG116" i="6"/>
  <c r="AD115" i="6"/>
  <c r="AI115" i="6"/>
  <c r="AJ115" i="6"/>
  <c r="AL115" i="6"/>
  <c r="AN115" i="6"/>
  <c r="AP115" i="6" s="1"/>
  <c r="AS115" i="6"/>
  <c r="AU115" i="6" s="1"/>
  <c r="AX115" i="6"/>
  <c r="AZ115" i="6" s="1"/>
  <c r="BC115" i="6"/>
  <c r="BE115" i="6" s="1"/>
  <c r="BH115" i="6"/>
  <c r="BJ115" i="6" s="1"/>
  <c r="BM115" i="6"/>
  <c r="BO115" i="6" s="1"/>
  <c r="BR115" i="6"/>
  <c r="BT115" i="6" s="1"/>
  <c r="BW115" i="6"/>
  <c r="BY115" i="6" s="1"/>
  <c r="CB115" i="6"/>
  <c r="CD115" i="6" s="1"/>
  <c r="CG115" i="6"/>
  <c r="CI115" i="6" s="1"/>
  <c r="CM115" i="6"/>
  <c r="G53" i="26"/>
  <c r="G31" i="26"/>
  <c r="G25" i="26"/>
  <c r="G110" i="26"/>
  <c r="D110" i="26"/>
  <c r="G172" i="26"/>
  <c r="G160" i="26"/>
  <c r="G158" i="26"/>
  <c r="G72" i="26"/>
  <c r="G69" i="26"/>
  <c r="AI71" i="6"/>
  <c r="AI72" i="6"/>
  <c r="AI73" i="6"/>
  <c r="AI74" i="6"/>
  <c r="AI75" i="6"/>
  <c r="AI76" i="6"/>
  <c r="AI77" i="6"/>
  <c r="AI78" i="6"/>
  <c r="AI79" i="6"/>
  <c r="AI81" i="6"/>
  <c r="AI83" i="6"/>
  <c r="AI84" i="6"/>
  <c r="AI85" i="6"/>
  <c r="AI86" i="6"/>
  <c r="AI87" i="6"/>
  <c r="AI88" i="6"/>
  <c r="AI89" i="6"/>
  <c r="AI91" i="6"/>
  <c r="AI93" i="6"/>
  <c r="AI94" i="6"/>
  <c r="AI95" i="6"/>
  <c r="AI97" i="6"/>
  <c r="AI98" i="6"/>
  <c r="AI99" i="6"/>
  <c r="AI100" i="6"/>
  <c r="AI101" i="6"/>
  <c r="AI102" i="6"/>
  <c r="AI103" i="6"/>
  <c r="AI104" i="6"/>
  <c r="AI105" i="6"/>
  <c r="AI107" i="6"/>
  <c r="AI108" i="6"/>
  <c r="AI109" i="6"/>
  <c r="AI111" i="6"/>
  <c r="AI112" i="6"/>
  <c r="AI113" i="6"/>
  <c r="AI114" i="6"/>
  <c r="D158" i="26"/>
  <c r="D160" i="26"/>
  <c r="D53" i="26"/>
  <c r="D31" i="26"/>
  <c r="D25" i="26"/>
  <c r="D172" i="26"/>
  <c r="D72" i="26"/>
  <c r="D69" i="26"/>
  <c r="F11" i="13"/>
  <c r="AI96" i="6"/>
  <c r="AI92" i="6"/>
  <c r="AI82" i="6"/>
  <c r="AI80" i="6"/>
  <c r="Y22" i="13" l="1"/>
  <c r="S65" i="30"/>
  <c r="U19" i="4"/>
  <c r="W19" i="4" s="1"/>
  <c r="T19" i="4"/>
  <c r="T56" i="30"/>
  <c r="S54" i="30"/>
  <c r="T63" i="30"/>
  <c r="S67" i="30"/>
  <c r="V60" i="30"/>
  <c r="V53" i="30"/>
  <c r="V56" i="30"/>
  <c r="V65" i="30"/>
  <c r="V59" i="30"/>
  <c r="V61" i="30"/>
  <c r="V66" i="30"/>
  <c r="V69" i="30"/>
  <c r="V52" i="30"/>
  <c r="V62" i="30"/>
  <c r="V68" i="30"/>
  <c r="V70" i="30"/>
  <c r="V63" i="30"/>
  <c r="V49" i="30"/>
  <c r="V51" i="30"/>
  <c r="V55" i="30"/>
  <c r="V57" i="30"/>
  <c r="V64" i="30"/>
  <c r="CQ36" i="30"/>
  <c r="CY36" i="30"/>
  <c r="DG36" i="30"/>
  <c r="CO46" i="30"/>
  <c r="T50" i="30"/>
  <c r="S50" i="30"/>
  <c r="CO54" i="30"/>
  <c r="AP54" i="30"/>
  <c r="CW54" i="30"/>
  <c r="BJ54" i="30"/>
  <c r="DE54" i="30"/>
  <c r="CD54" i="30"/>
  <c r="AP24" i="30"/>
  <c r="Y11" i="13" s="1"/>
  <c r="AZ24" i="30"/>
  <c r="BJ24" i="30"/>
  <c r="BT24" i="30"/>
  <c r="CD24" i="30"/>
  <c r="CQ32" i="30"/>
  <c r="CY32" i="30"/>
  <c r="DG32" i="30"/>
  <c r="AP34" i="30"/>
  <c r="Y16" i="13" s="1"/>
  <c r="AZ34" i="30"/>
  <c r="BJ34" i="30"/>
  <c r="BT34" i="30"/>
  <c r="CD34" i="30"/>
  <c r="BE36" i="30"/>
  <c r="BY36" i="30"/>
  <c r="CQ38" i="30"/>
  <c r="CY38" i="30"/>
  <c r="DG38" i="30"/>
  <c r="CQ40" i="30"/>
  <c r="CY40" i="30"/>
  <c r="DG40" i="30"/>
  <c r="CQ42" i="30"/>
  <c r="CY42" i="30"/>
  <c r="DG42" i="30"/>
  <c r="AP44" i="30"/>
  <c r="AZ44" i="30"/>
  <c r="BJ44" i="30"/>
  <c r="BT44" i="30"/>
  <c r="CD44" i="30"/>
  <c r="AZ46" i="30"/>
  <c r="BJ46" i="30"/>
  <c r="BT46" i="30"/>
  <c r="CD46" i="30"/>
  <c r="DC48" i="30"/>
  <c r="AU49" i="30"/>
  <c r="BY49" i="30"/>
  <c r="T52" i="30"/>
  <c r="CY54" i="30"/>
  <c r="CU56" i="30"/>
  <c r="BE56" i="30"/>
  <c r="DC56" i="30"/>
  <c r="BY56" i="30"/>
  <c r="CQ58" i="30"/>
  <c r="CQ24" i="30"/>
  <c r="CY24" i="30"/>
  <c r="DG24" i="30"/>
  <c r="CS25" i="30"/>
  <c r="AP27" i="30"/>
  <c r="AZ27" i="30"/>
  <c r="BJ27" i="30"/>
  <c r="BT27" i="30"/>
  <c r="CD27" i="30"/>
  <c r="AU28" i="30"/>
  <c r="BE28" i="30"/>
  <c r="BO28" i="30"/>
  <c r="BY28" i="30"/>
  <c r="AP31" i="30"/>
  <c r="Y15" i="13" s="1"/>
  <c r="AZ31" i="30"/>
  <c r="BJ31" i="30"/>
  <c r="BT31" i="30"/>
  <c r="CD31" i="30"/>
  <c r="BE32" i="30"/>
  <c r="BY32" i="30"/>
  <c r="CQ34" i="30"/>
  <c r="CY34" i="30"/>
  <c r="DG34" i="30"/>
  <c r="BE38" i="30"/>
  <c r="BY38" i="30"/>
  <c r="BE40" i="30"/>
  <c r="BY40" i="30"/>
  <c r="BE42" i="30"/>
  <c r="BY42" i="30"/>
  <c r="CQ44" i="30"/>
  <c r="CY44" i="30"/>
  <c r="DG44" i="30"/>
  <c r="DG48" i="30"/>
  <c r="T49" i="30"/>
  <c r="CY49" i="30"/>
  <c r="BO49" i="30"/>
  <c r="CW50" i="30"/>
  <c r="CS54" i="30"/>
  <c r="AZ54" i="30"/>
  <c r="DA54" i="30"/>
  <c r="BT54" i="30"/>
  <c r="CO56" i="30"/>
  <c r="AP56" i="30"/>
  <c r="S57" i="30"/>
  <c r="T57" i="30"/>
  <c r="CU58" i="30"/>
  <c r="BE58" i="30"/>
  <c r="DC58" i="30"/>
  <c r="BY58" i="30"/>
  <c r="CY58" i="30"/>
  <c r="CW25" i="30"/>
  <c r="AP36" i="30"/>
  <c r="BJ36" i="30"/>
  <c r="CD36" i="30"/>
  <c r="BE46" i="30"/>
  <c r="BY46" i="30"/>
  <c r="CI46" i="30"/>
  <c r="AP50" i="30"/>
  <c r="BT50" i="30"/>
  <c r="S53" i="30"/>
  <c r="T53" i="30"/>
  <c r="CQ54" i="30"/>
  <c r="DG54" i="30"/>
  <c r="DG58" i="30"/>
  <c r="CQ67" i="30"/>
  <c r="CY67" i="30"/>
  <c r="DG67" i="30"/>
  <c r="CQ73" i="30"/>
  <c r="CY73" i="30"/>
  <c r="DG73" i="30"/>
  <c r="CQ79" i="30"/>
  <c r="CY79" i="30"/>
  <c r="DG79" i="30"/>
  <c r="CW82" i="30"/>
  <c r="CQ83" i="30"/>
  <c r="CY83" i="30"/>
  <c r="DG83" i="30"/>
  <c r="CU88" i="30"/>
  <c r="CO104" i="30"/>
  <c r="CW104" i="30"/>
  <c r="DE104" i="30"/>
  <c r="CS56" i="30"/>
  <c r="DA56" i="30"/>
  <c r="CS58" i="30"/>
  <c r="DA58" i="30"/>
  <c r="S60" i="30"/>
  <c r="T61" i="30"/>
  <c r="S64" i="30"/>
  <c r="BJ65" i="30"/>
  <c r="BE67" i="30"/>
  <c r="BY67" i="30"/>
  <c r="CS67" i="30"/>
  <c r="DA67" i="30"/>
  <c r="T68" i="30"/>
  <c r="S69" i="30"/>
  <c r="BE73" i="30"/>
  <c r="BY73" i="30"/>
  <c r="CS73" i="30"/>
  <c r="DA73" i="30"/>
  <c r="CO78" i="30"/>
  <c r="DE78" i="30"/>
  <c r="BE79" i="30"/>
  <c r="BY79" i="30"/>
  <c r="CS79" i="30"/>
  <c r="DA79" i="30"/>
  <c r="DA82" i="30"/>
  <c r="BE83" i="30"/>
  <c r="BY83" i="30"/>
  <c r="CS83" i="30"/>
  <c r="DA83" i="30"/>
  <c r="AU85" i="30"/>
  <c r="CW86" i="30"/>
  <c r="AU88" i="30"/>
  <c r="BO88" i="30"/>
  <c r="BY88" i="30"/>
  <c r="CI88" i="30"/>
  <c r="AP89" i="30"/>
  <c r="Y27" i="13" s="1"/>
  <c r="AZ89" i="30"/>
  <c r="BJ89" i="30"/>
  <c r="BT89" i="30"/>
  <c r="CD89" i="30"/>
  <c r="CQ89" i="30"/>
  <c r="AZ90" i="30"/>
  <c r="CI90" i="30"/>
  <c r="BT91" i="30"/>
  <c r="CW92" i="30"/>
  <c r="AP93" i="30"/>
  <c r="Y28" i="13" s="1"/>
  <c r="AZ93" i="30"/>
  <c r="BJ93" i="30"/>
  <c r="BT93" i="30"/>
  <c r="CD93" i="30"/>
  <c r="AP98" i="30"/>
  <c r="AZ98" i="30"/>
  <c r="BJ98" i="30"/>
  <c r="BT98" i="30"/>
  <c r="CD98" i="30"/>
  <c r="AU99" i="30"/>
  <c r="BT99" i="30"/>
  <c r="CI99" i="30"/>
  <c r="AZ104" i="30"/>
  <c r="BT104" i="30"/>
  <c r="CQ104" i="30"/>
  <c r="CY104" i="30"/>
  <c r="DG104" i="30"/>
  <c r="AP111" i="30"/>
  <c r="AZ111" i="30"/>
  <c r="BJ111" i="30"/>
  <c r="BT111" i="30"/>
  <c r="CD111" i="30"/>
  <c r="BY112" i="30"/>
  <c r="CO114" i="30"/>
  <c r="AP114" i="30"/>
  <c r="CW114" i="30"/>
  <c r="BJ114" i="30"/>
  <c r="DE114" i="30"/>
  <c r="CD114" i="30"/>
  <c r="CU114" i="30"/>
  <c r="AZ119" i="30"/>
  <c r="CS119" i="30"/>
  <c r="CY119" i="30"/>
  <c r="BO119" i="30"/>
  <c r="CO82" i="30"/>
  <c r="DG85" i="30"/>
  <c r="CU89" i="30"/>
  <c r="CQ93" i="30"/>
  <c r="CY93" i="30"/>
  <c r="DG93" i="30"/>
  <c r="CQ98" i="30"/>
  <c r="CY98" i="30"/>
  <c r="DG98" i="30"/>
  <c r="CQ111" i="30"/>
  <c r="CY111" i="30"/>
  <c r="DG111" i="30"/>
  <c r="DE112" i="30"/>
  <c r="CD112" i="30"/>
  <c r="CY114" i="30"/>
  <c r="BE116" i="30"/>
  <c r="V54" i="30"/>
  <c r="BJ56" i="30"/>
  <c r="CD56" i="30"/>
  <c r="AP58" i="30"/>
  <c r="BJ58" i="30"/>
  <c r="CD58" i="30"/>
  <c r="AP67" i="30"/>
  <c r="BJ67" i="30"/>
  <c r="CD67" i="30"/>
  <c r="AP73" i="30"/>
  <c r="BJ73" i="30"/>
  <c r="CD73" i="30"/>
  <c r="CW78" i="30"/>
  <c r="AP79" i="30"/>
  <c r="BJ79" i="30"/>
  <c r="CD79" i="30"/>
  <c r="CS82" i="30"/>
  <c r="AP83" i="30"/>
  <c r="BJ83" i="30"/>
  <c r="CD83" i="30"/>
  <c r="BJ84" i="30"/>
  <c r="AP88" i="30"/>
  <c r="AZ88" i="30"/>
  <c r="BJ88" i="30"/>
  <c r="BT88" i="30"/>
  <c r="CD88" i="30"/>
  <c r="BO89" i="30"/>
  <c r="BY89" i="30"/>
  <c r="CI89" i="30"/>
  <c r="AU90" i="30"/>
  <c r="CD90" i="30"/>
  <c r="BO91" i="30"/>
  <c r="CO92" i="30"/>
  <c r="DE92" i="30"/>
  <c r="DA97" i="30"/>
  <c r="AZ99" i="30"/>
  <c r="BO99" i="30"/>
  <c r="BE104" i="30"/>
  <c r="BY104" i="30"/>
  <c r="DA112" i="30"/>
  <c r="BT112" i="30"/>
  <c r="DG112" i="30"/>
  <c r="CI112" i="30"/>
  <c r="CS114" i="30"/>
  <c r="AZ114" i="30"/>
  <c r="DA114" i="30"/>
  <c r="BT114" i="30"/>
  <c r="DC114" i="30"/>
  <c r="BY116" i="30"/>
  <c r="CO119" i="30"/>
  <c r="AP119" i="30"/>
  <c r="Y31" i="13" s="1"/>
  <c r="AI125" i="30"/>
  <c r="AP125" i="30"/>
  <c r="Y33" i="13" s="1"/>
  <c r="AU125" i="30"/>
  <c r="AZ125" i="30"/>
  <c r="BE125" i="30"/>
  <c r="BJ125" i="30"/>
  <c r="BO125" i="30"/>
  <c r="BT125" i="30"/>
  <c r="BY125" i="30"/>
  <c r="CD125" i="30"/>
  <c r="CI125" i="30"/>
  <c r="AU119" i="30"/>
  <c r="CI119" i="30"/>
  <c r="CW119" i="30"/>
  <c r="CW118" i="30"/>
  <c r="DG147" i="30"/>
  <c r="DG143" i="30"/>
  <c r="DG139" i="30"/>
  <c r="DG135" i="30"/>
  <c r="DG131" i="30"/>
  <c r="DG127" i="30"/>
  <c r="DG123" i="30"/>
  <c r="DE147" i="30"/>
  <c r="AP145" i="30"/>
  <c r="Y35" i="13" s="1"/>
  <c r="Z35" i="13" s="1" a="1"/>
  <c r="Z35" i="13" s="1"/>
  <c r="AP141" i="30"/>
  <c r="AP137" i="30"/>
  <c r="AP133" i="30"/>
  <c r="Y34" i="13" s="1"/>
  <c r="Z34" i="13" s="1" a="1"/>
  <c r="Z34" i="13" s="1"/>
  <c r="AP129" i="30"/>
  <c r="H26" i="30"/>
  <c r="AI23" i="30"/>
  <c r="CI23" i="30"/>
  <c r="BO23" i="30"/>
  <c r="AU23" i="30"/>
  <c r="CD23" i="30"/>
  <c r="BT23" i="30"/>
  <c r="BE23" i="30"/>
  <c r="AP23" i="30"/>
  <c r="BY23" i="30"/>
  <c r="BJ23" i="30"/>
  <c r="AZ23" i="30"/>
  <c r="DK116" i="30"/>
  <c r="DK109" i="30"/>
  <c r="DK111" i="30"/>
  <c r="DK105" i="30"/>
  <c r="DK101" i="30"/>
  <c r="DK100" i="30"/>
  <c r="DK97" i="30"/>
  <c r="DK94" i="30"/>
  <c r="DK90" i="30"/>
  <c r="DK88" i="30"/>
  <c r="DK80" i="30"/>
  <c r="DK79" i="30"/>
  <c r="DK75" i="30"/>
  <c r="DK87" i="30"/>
  <c r="DK70" i="30"/>
  <c r="DK66" i="30"/>
  <c r="DK62" i="30"/>
  <c r="DK56" i="30"/>
  <c r="DK49" i="30"/>
  <c r="DK64" i="30"/>
  <c r="DK61" i="30"/>
  <c r="DK50" i="30"/>
  <c r="DK42" i="30"/>
  <c r="DK38" i="30"/>
  <c r="DK47" i="30"/>
  <c r="DK39" i="30"/>
  <c r="DK48" i="30"/>
  <c r="DK34" i="30"/>
  <c r="DK33" i="30"/>
  <c r="DK27" i="30"/>
  <c r="DK23" i="30"/>
  <c r="DK22" i="30"/>
  <c r="DK21" i="30"/>
  <c r="DK36" i="30"/>
  <c r="DK32" i="30"/>
  <c r="DK29" i="30"/>
  <c r="AI22" i="30"/>
  <c r="BY22" i="30"/>
  <c r="BJ22" i="30"/>
  <c r="AU22" i="30"/>
  <c r="CI22" i="30"/>
  <c r="BT22" i="30"/>
  <c r="BE22" i="30"/>
  <c r="AP22" i="30"/>
  <c r="CD22" i="30"/>
  <c r="BO22" i="30"/>
  <c r="AZ22" i="30"/>
  <c r="CQ22" i="30"/>
  <c r="CY22" i="30"/>
  <c r="DC22" i="30"/>
  <c r="CU33" i="30"/>
  <c r="BE33" i="30"/>
  <c r="DC33" i="30"/>
  <c r="BY33" i="30"/>
  <c r="DA33" i="30"/>
  <c r="H36" i="30"/>
  <c r="AP37" i="30"/>
  <c r="CO37" i="30"/>
  <c r="BJ37" i="30"/>
  <c r="CW37" i="30"/>
  <c r="CD37" i="30"/>
  <c r="DE37" i="30"/>
  <c r="CQ21" i="30"/>
  <c r="CY21" i="30"/>
  <c r="DG21" i="30"/>
  <c r="CU22" i="30"/>
  <c r="DG22" i="30"/>
  <c r="AE21" i="30"/>
  <c r="K24" i="30"/>
  <c r="H12" i="30" s="1"/>
  <c r="H25" i="30"/>
  <c r="I26" i="30"/>
  <c r="AP26" i="30"/>
  <c r="Y13" i="13" s="1"/>
  <c r="AU26" i="30"/>
  <c r="AZ26" i="30"/>
  <c r="BE26" i="30"/>
  <c r="BJ26" i="30"/>
  <c r="BO26" i="30"/>
  <c r="BT26" i="30"/>
  <c r="BY26" i="30"/>
  <c r="CD26" i="30"/>
  <c r="CI26" i="30"/>
  <c r="CQ26" i="30"/>
  <c r="CU26" i="30"/>
  <c r="CY26" i="30"/>
  <c r="DC26" i="30"/>
  <c r="DG26" i="30"/>
  <c r="H29" i="30"/>
  <c r="AP30" i="30"/>
  <c r="AU30" i="30"/>
  <c r="AZ30" i="30"/>
  <c r="BE30" i="30"/>
  <c r="BJ30" i="30"/>
  <c r="BO30" i="30"/>
  <c r="BT30" i="30"/>
  <c r="BY30" i="30"/>
  <c r="CD30" i="30"/>
  <c r="CI30" i="30"/>
  <c r="CQ30" i="30"/>
  <c r="CU30" i="30"/>
  <c r="CY30" i="30"/>
  <c r="DC30" i="30"/>
  <c r="DG30" i="30"/>
  <c r="CW33" i="30"/>
  <c r="CO35" i="30"/>
  <c r="AP35" i="30"/>
  <c r="CS35" i="30"/>
  <c r="AZ35" i="30"/>
  <c r="CW35" i="30"/>
  <c r="BJ35" i="30"/>
  <c r="DA35" i="30"/>
  <c r="BT35" i="30"/>
  <c r="DE35" i="30"/>
  <c r="CD35" i="30"/>
  <c r="CQ37" i="30"/>
  <c r="AU37" i="30"/>
  <c r="CY37" i="30"/>
  <c r="BO37" i="30"/>
  <c r="DG37" i="30"/>
  <c r="CI37" i="30"/>
  <c r="H22" i="30"/>
  <c r="H23" i="30"/>
  <c r="H24" i="30"/>
  <c r="AU25" i="30"/>
  <c r="BE25" i="30"/>
  <c r="BO25" i="30"/>
  <c r="BY25" i="30"/>
  <c r="CI25" i="30"/>
  <c r="H28" i="30"/>
  <c r="AP29" i="30"/>
  <c r="Y14" i="13" s="1"/>
  <c r="AU29" i="30"/>
  <c r="AZ29" i="30"/>
  <c r="BE29" i="30"/>
  <c r="BJ29" i="30"/>
  <c r="BO29" i="30"/>
  <c r="BT29" i="30"/>
  <c r="BY29" i="30"/>
  <c r="CD29" i="30"/>
  <c r="CI29" i="30"/>
  <c r="CQ29" i="30"/>
  <c r="CU29" i="30"/>
  <c r="CY29" i="30"/>
  <c r="DC29" i="30"/>
  <c r="DG29" i="30"/>
  <c r="H32" i="30"/>
  <c r="CQ33" i="30"/>
  <c r="AU33" i="30"/>
  <c r="CY33" i="30"/>
  <c r="BO33" i="30"/>
  <c r="DG33" i="30"/>
  <c r="CI33" i="30"/>
  <c r="CS33" i="30"/>
  <c r="AZ37" i="30"/>
  <c r="CS37" i="30"/>
  <c r="BT37" i="30"/>
  <c r="DA37" i="30"/>
  <c r="H38" i="30"/>
  <c r="CO33" i="30"/>
  <c r="DE33" i="30"/>
  <c r="CQ35" i="30"/>
  <c r="AU35" i="30"/>
  <c r="CU35" i="30"/>
  <c r="BE35" i="30"/>
  <c r="CY35" i="30"/>
  <c r="BO35" i="30"/>
  <c r="DC35" i="30"/>
  <c r="BY35" i="30"/>
  <c r="DG35" i="30"/>
  <c r="CI35" i="30"/>
  <c r="CU37" i="30"/>
  <c r="BE37" i="30"/>
  <c r="DC37" i="30"/>
  <c r="BY37" i="30"/>
  <c r="AP39" i="30"/>
  <c r="Y17" i="13" s="1"/>
  <c r="AU39" i="30"/>
  <c r="AZ39" i="30"/>
  <c r="BE39" i="30"/>
  <c r="BJ39" i="30"/>
  <c r="BO39" i="30"/>
  <c r="BT39" i="30"/>
  <c r="BY39" i="30"/>
  <c r="CD39" i="30"/>
  <c r="CI39" i="30"/>
  <c r="F40" i="30"/>
  <c r="CO41" i="30"/>
  <c r="CS41" i="30"/>
  <c r="CW41" i="30"/>
  <c r="DA41" i="30"/>
  <c r="DE41" i="30"/>
  <c r="H42" i="30"/>
  <c r="AP43" i="30"/>
  <c r="Y18" i="13" s="1"/>
  <c r="AU43" i="30"/>
  <c r="AZ43" i="30"/>
  <c r="BE43" i="30"/>
  <c r="BJ43" i="30"/>
  <c r="BO43" i="30"/>
  <c r="BT43" i="30"/>
  <c r="BY43" i="30"/>
  <c r="CD43" i="30"/>
  <c r="CI43" i="30"/>
  <c r="F44" i="30"/>
  <c r="CO45" i="30"/>
  <c r="CS45" i="30"/>
  <c r="CW45" i="30"/>
  <c r="DA45" i="30"/>
  <c r="DE45" i="30"/>
  <c r="H46" i="30"/>
  <c r="CU47" i="30"/>
  <c r="BE47" i="30"/>
  <c r="DC47" i="30"/>
  <c r="BY47" i="30"/>
  <c r="DA47" i="30"/>
  <c r="H48" i="30"/>
  <c r="AZ48" i="30"/>
  <c r="BT48" i="30"/>
  <c r="BJ49" i="30"/>
  <c r="CD49" i="30"/>
  <c r="CU49" i="30"/>
  <c r="CQ53" i="30"/>
  <c r="AU53" i="30"/>
  <c r="CY53" i="30"/>
  <c r="BO53" i="30"/>
  <c r="DG53" i="30"/>
  <c r="CI53" i="30"/>
  <c r="CW47" i="30"/>
  <c r="CO48" i="30"/>
  <c r="DE48" i="30"/>
  <c r="V50" i="30"/>
  <c r="CQ51" i="30"/>
  <c r="AU51" i="30"/>
  <c r="CU51" i="30"/>
  <c r="BE51" i="30"/>
  <c r="CY51" i="30"/>
  <c r="BO51" i="30"/>
  <c r="DC51" i="30"/>
  <c r="BY51" i="30"/>
  <c r="DG51" i="30"/>
  <c r="CI51" i="30"/>
  <c r="AZ53" i="30"/>
  <c r="CS53" i="30"/>
  <c r="BT53" i="30"/>
  <c r="DA53" i="30"/>
  <c r="H54" i="30"/>
  <c r="H40" i="30"/>
  <c r="AP41" i="30"/>
  <c r="AU41" i="30"/>
  <c r="AZ41" i="30"/>
  <c r="BE41" i="30"/>
  <c r="BJ41" i="30"/>
  <c r="BO41" i="30"/>
  <c r="BT41" i="30"/>
  <c r="BY41" i="30"/>
  <c r="CD41" i="30"/>
  <c r="CI41" i="30"/>
  <c r="CQ41" i="30"/>
  <c r="CU41" i="30"/>
  <c r="CY41" i="30"/>
  <c r="DC41" i="30"/>
  <c r="DG41" i="30"/>
  <c r="H44" i="30"/>
  <c r="AP45" i="30"/>
  <c r="Y19" i="13" s="1"/>
  <c r="AU45" i="30"/>
  <c r="AZ45" i="30"/>
  <c r="BE45" i="30"/>
  <c r="BJ45" i="30"/>
  <c r="BO45" i="30"/>
  <c r="BT45" i="30"/>
  <c r="BY45" i="30"/>
  <c r="CD45" i="30"/>
  <c r="CI45" i="30"/>
  <c r="CQ45" i="30"/>
  <c r="CU45" i="30"/>
  <c r="CY45" i="30"/>
  <c r="DC45" i="30"/>
  <c r="DG45" i="30"/>
  <c r="CQ47" i="30"/>
  <c r="AU47" i="30"/>
  <c r="CY47" i="30"/>
  <c r="BO47" i="30"/>
  <c r="DG47" i="30"/>
  <c r="CI47" i="30"/>
  <c r="CS47" i="30"/>
  <c r="AP48" i="30"/>
  <c r="Y20" i="13" s="1"/>
  <c r="BJ48" i="30"/>
  <c r="CD48" i="30"/>
  <c r="CU48" i="30"/>
  <c r="AZ49" i="30"/>
  <c r="BT49" i="30"/>
  <c r="T51" i="30"/>
  <c r="H52" i="30"/>
  <c r="CU53" i="30"/>
  <c r="BE53" i="30"/>
  <c r="DC53" i="30"/>
  <c r="BY53" i="30"/>
  <c r="CO47" i="30"/>
  <c r="DE47" i="30"/>
  <c r="CW48" i="30"/>
  <c r="CO49" i="30"/>
  <c r="H50" i="30"/>
  <c r="CO51" i="30"/>
  <c r="AP51" i="30"/>
  <c r="CS51" i="30"/>
  <c r="AZ51" i="30"/>
  <c r="CW51" i="30"/>
  <c r="BJ51" i="30"/>
  <c r="DA51" i="30"/>
  <c r="BT51" i="30"/>
  <c r="DE51" i="30"/>
  <c r="CD51" i="30"/>
  <c r="AP53" i="30"/>
  <c r="CO53" i="30"/>
  <c r="BJ53" i="30"/>
  <c r="CW53" i="30"/>
  <c r="CD53" i="30"/>
  <c r="DE53" i="30"/>
  <c r="T55" i="30"/>
  <c r="T59" i="30"/>
  <c r="CQ60" i="30"/>
  <c r="T62" i="30"/>
  <c r="AP62" i="30"/>
  <c r="AU62" i="30"/>
  <c r="AZ62" i="30"/>
  <c r="BE62" i="30"/>
  <c r="BJ62" i="30"/>
  <c r="BO62" i="30"/>
  <c r="BT62" i="30"/>
  <c r="BY62" i="30"/>
  <c r="CD62" i="30"/>
  <c r="CI62" i="30"/>
  <c r="CQ62" i="30"/>
  <c r="CU62" i="30"/>
  <c r="CY62" i="30"/>
  <c r="DC62" i="30"/>
  <c r="DG62" i="30"/>
  <c r="CU65" i="30"/>
  <c r="CU68" i="30"/>
  <c r="BE68" i="30"/>
  <c r="DC68" i="30"/>
  <c r="BY68" i="30"/>
  <c r="AP55" i="30"/>
  <c r="AU55" i="30"/>
  <c r="AZ55" i="30"/>
  <c r="BE55" i="30"/>
  <c r="BJ55" i="30"/>
  <c r="BO55" i="30"/>
  <c r="BT55" i="30"/>
  <c r="BY55" i="30"/>
  <c r="CD55" i="30"/>
  <c r="CI55" i="30"/>
  <c r="F56" i="30"/>
  <c r="CO57" i="30"/>
  <c r="CS57" i="30"/>
  <c r="CW57" i="30"/>
  <c r="DA57" i="30"/>
  <c r="DE57" i="30"/>
  <c r="H58" i="30"/>
  <c r="AP59" i="30"/>
  <c r="AU59" i="30"/>
  <c r="AZ59" i="30"/>
  <c r="BE59" i="30"/>
  <c r="BJ59" i="30"/>
  <c r="BO59" i="30"/>
  <c r="BT59" i="30"/>
  <c r="BY59" i="30"/>
  <c r="CD59" i="30"/>
  <c r="CI59" i="30"/>
  <c r="F60" i="30"/>
  <c r="CO63" i="30"/>
  <c r="CS63" i="30"/>
  <c r="CW63" i="30"/>
  <c r="DA63" i="30"/>
  <c r="DE63" i="30"/>
  <c r="H64" i="30"/>
  <c r="BE65" i="30"/>
  <c r="BY65" i="30"/>
  <c r="CQ66" i="30"/>
  <c r="AU66" i="30"/>
  <c r="CU66" i="30"/>
  <c r="BE66" i="30"/>
  <c r="CY66" i="30"/>
  <c r="BO66" i="30"/>
  <c r="DC66" i="30"/>
  <c r="BY66" i="30"/>
  <c r="DG66" i="30"/>
  <c r="CI66" i="30"/>
  <c r="AP68" i="30"/>
  <c r="CO68" i="30"/>
  <c r="BJ68" i="30"/>
  <c r="CW68" i="30"/>
  <c r="CD68" i="30"/>
  <c r="DE68" i="30"/>
  <c r="H67" i="30"/>
  <c r="CQ68" i="30"/>
  <c r="AU68" i="30"/>
  <c r="CY68" i="30"/>
  <c r="BO68" i="30"/>
  <c r="DG68" i="30"/>
  <c r="CI68" i="30"/>
  <c r="AU57" i="30"/>
  <c r="BE57" i="30"/>
  <c r="BO57" i="30"/>
  <c r="BY57" i="30"/>
  <c r="CI57" i="30"/>
  <c r="AU63" i="30"/>
  <c r="BE63" i="30"/>
  <c r="BO63" i="30"/>
  <c r="BY63" i="30"/>
  <c r="CI63" i="30"/>
  <c r="AU65" i="30"/>
  <c r="BO65" i="30"/>
  <c r="CI65" i="30"/>
  <c r="CO65" i="30"/>
  <c r="CY65" i="30"/>
  <c r="DE65" i="30"/>
  <c r="T66" i="30"/>
  <c r="CO66" i="30"/>
  <c r="AP66" i="30"/>
  <c r="CS66" i="30"/>
  <c r="AZ66" i="30"/>
  <c r="CW66" i="30"/>
  <c r="BJ66" i="30"/>
  <c r="DA66" i="30"/>
  <c r="BT66" i="30"/>
  <c r="DE66" i="30"/>
  <c r="CD66" i="30"/>
  <c r="AZ68" i="30"/>
  <c r="CS68" i="30"/>
  <c r="BT68" i="30"/>
  <c r="DA68" i="30"/>
  <c r="H69" i="30"/>
  <c r="AP70" i="30"/>
  <c r="Y23" i="13" s="1"/>
  <c r="AU70" i="30"/>
  <c r="AZ70" i="30"/>
  <c r="BE70" i="30"/>
  <c r="BJ70" i="30"/>
  <c r="BO70" i="30"/>
  <c r="BT70" i="30"/>
  <c r="BY70" i="30"/>
  <c r="CD70" i="30"/>
  <c r="CI70" i="30"/>
  <c r="CO72" i="30"/>
  <c r="CS72" i="30"/>
  <c r="CW72" i="30"/>
  <c r="DA72" i="30"/>
  <c r="DE72" i="30"/>
  <c r="AP74" i="30"/>
  <c r="AU74" i="30"/>
  <c r="AZ74" i="30"/>
  <c r="BE74" i="30"/>
  <c r="BJ74" i="30"/>
  <c r="BO74" i="30"/>
  <c r="BT74" i="30"/>
  <c r="BY74" i="30"/>
  <c r="CD74" i="30"/>
  <c r="CI74" i="30"/>
  <c r="CO76" i="30"/>
  <c r="CS76" i="30"/>
  <c r="CW76" i="30"/>
  <c r="DA76" i="30"/>
  <c r="DE76" i="30"/>
  <c r="CO77" i="30"/>
  <c r="CQ77" i="30"/>
  <c r="AU77" i="30"/>
  <c r="CU77" i="30"/>
  <c r="BE77" i="30"/>
  <c r="CY77" i="30"/>
  <c r="BO77" i="30"/>
  <c r="DC77" i="30"/>
  <c r="BY77" i="30"/>
  <c r="DG77" i="30"/>
  <c r="CI77" i="30"/>
  <c r="S70" i="30"/>
  <c r="AP72" i="30"/>
  <c r="AU72" i="30"/>
  <c r="AZ72" i="30"/>
  <c r="BE72" i="30"/>
  <c r="BJ72" i="30"/>
  <c r="BO72" i="30"/>
  <c r="BT72" i="30"/>
  <c r="BY72" i="30"/>
  <c r="CD72" i="30"/>
  <c r="CI72" i="30"/>
  <c r="CQ72" i="30"/>
  <c r="CU72" i="30"/>
  <c r="CY72" i="30"/>
  <c r="DC72" i="30"/>
  <c r="DG72" i="30"/>
  <c r="CQ76" i="30"/>
  <c r="AP77" i="30"/>
  <c r="AZ77" i="30"/>
  <c r="BJ77" i="30"/>
  <c r="BT77" i="30"/>
  <c r="CD77" i="30"/>
  <c r="CU84" i="30"/>
  <c r="CO85" i="30"/>
  <c r="DE85" i="30"/>
  <c r="CU86" i="30"/>
  <c r="BE86" i="30"/>
  <c r="DC86" i="30"/>
  <c r="BY86" i="30"/>
  <c r="BE90" i="30"/>
  <c r="DC90" i="30"/>
  <c r="BY90" i="30"/>
  <c r="AP81" i="30"/>
  <c r="AU81" i="30"/>
  <c r="AZ81" i="30"/>
  <c r="BE81" i="30"/>
  <c r="BJ81" i="30"/>
  <c r="BO81" i="30"/>
  <c r="BT81" i="30"/>
  <c r="BY81" i="30"/>
  <c r="CD81" i="30"/>
  <c r="CI81" i="30"/>
  <c r="CQ81" i="30"/>
  <c r="CU81" i="30"/>
  <c r="CY81" i="30"/>
  <c r="DC81" i="30"/>
  <c r="DG81" i="30"/>
  <c r="BE84" i="30"/>
  <c r="BY84" i="30"/>
  <c r="CQ84" i="30"/>
  <c r="AP85" i="30"/>
  <c r="BJ85" i="30"/>
  <c r="CD85" i="30"/>
  <c r="CU85" i="30"/>
  <c r="AU78" i="30"/>
  <c r="BE78" i="30"/>
  <c r="BO78" i="30"/>
  <c r="BY78" i="30"/>
  <c r="CI78" i="30"/>
  <c r="AU82" i="30"/>
  <c r="BE82" i="30"/>
  <c r="BO82" i="30"/>
  <c r="BY82" i="30"/>
  <c r="CD82" i="30"/>
  <c r="CI82" i="30"/>
  <c r="AZ84" i="30"/>
  <c r="BT84" i="30"/>
  <c r="BE85" i="30"/>
  <c r="BY85" i="30"/>
  <c r="CW85" i="30"/>
  <c r="CQ86" i="30"/>
  <c r="AU86" i="30"/>
  <c r="CY86" i="30"/>
  <c r="BO86" i="30"/>
  <c r="DG86" i="30"/>
  <c r="CI86" i="30"/>
  <c r="CS86" i="30"/>
  <c r="CO84" i="30"/>
  <c r="BO84" i="30"/>
  <c r="AZ85" i="30"/>
  <c r="BT85" i="30"/>
  <c r="CS85" i="30"/>
  <c r="DC85" i="30"/>
  <c r="CO86" i="30"/>
  <c r="DE86" i="30"/>
  <c r="CU90" i="30"/>
  <c r="AP91" i="30"/>
  <c r="CW91" i="30"/>
  <c r="BJ91" i="30"/>
  <c r="CD91" i="30"/>
  <c r="AP95" i="30"/>
  <c r="AZ95" i="30"/>
  <c r="BJ95" i="30"/>
  <c r="BT95" i="30"/>
  <c r="CD95" i="30"/>
  <c r="CU97" i="30"/>
  <c r="BE97" i="30"/>
  <c r="DG105" i="30"/>
  <c r="CI105" i="30"/>
  <c r="CU91" i="30"/>
  <c r="CO94" i="30"/>
  <c r="CS94" i="30"/>
  <c r="CW94" i="30"/>
  <c r="DA94" i="30"/>
  <c r="DE94" i="30"/>
  <c r="CO95" i="30"/>
  <c r="CW95" i="30"/>
  <c r="DE95" i="30"/>
  <c r="DE99" i="30"/>
  <c r="CD99" i="30"/>
  <c r="CO103" i="30"/>
  <c r="AP103" i="30"/>
  <c r="Y29" i="13" s="1"/>
  <c r="CW103" i="30"/>
  <c r="BJ103" i="30"/>
  <c r="DE103" i="30"/>
  <c r="CD103" i="30"/>
  <c r="CQ95" i="30"/>
  <c r="AU95" i="30"/>
  <c r="CU95" i="30"/>
  <c r="BE95" i="30"/>
  <c r="CY95" i="30"/>
  <c r="BO95" i="30"/>
  <c r="DC95" i="30"/>
  <c r="BY95" i="30"/>
  <c r="DG95" i="30"/>
  <c r="CI95" i="30"/>
  <c r="AP96" i="30"/>
  <c r="CW96" i="30"/>
  <c r="BJ96" i="30"/>
  <c r="CD96" i="30"/>
  <c r="CO96" i="30"/>
  <c r="DC97" i="30"/>
  <c r="BY97" i="30"/>
  <c r="CW99" i="30"/>
  <c r="BJ99" i="30"/>
  <c r="CO90" i="30"/>
  <c r="CS91" i="30"/>
  <c r="CS95" i="30"/>
  <c r="DA95" i="30"/>
  <c r="CQ96" i="30"/>
  <c r="DG96" i="30"/>
  <c r="CO99" i="30"/>
  <c r="AP99" i="30"/>
  <c r="CU96" i="30"/>
  <c r="CW97" i="30"/>
  <c r="CU99" i="30"/>
  <c r="CQ103" i="30"/>
  <c r="AU103" i="30"/>
  <c r="CY103" i="30"/>
  <c r="BO103" i="30"/>
  <c r="DG103" i="30"/>
  <c r="CI103" i="30"/>
  <c r="CY105" i="30"/>
  <c r="BO105" i="30"/>
  <c r="AU92" i="30"/>
  <c r="BE92" i="30"/>
  <c r="BO92" i="30"/>
  <c r="BY92" i="30"/>
  <c r="CI92" i="30"/>
  <c r="BE96" i="30"/>
  <c r="BY96" i="30"/>
  <c r="CQ97" i="30"/>
  <c r="AU97" i="30"/>
  <c r="CY97" i="30"/>
  <c r="BO97" i="30"/>
  <c r="DG97" i="30"/>
  <c r="CI97" i="30"/>
  <c r="CS97" i="30"/>
  <c r="CS103" i="30"/>
  <c r="AZ103" i="30"/>
  <c r="DA103" i="30"/>
  <c r="BT103" i="30"/>
  <c r="CQ105" i="30"/>
  <c r="AU105" i="30"/>
  <c r="CO106" i="30"/>
  <c r="AP106" i="30"/>
  <c r="CW106" i="30"/>
  <c r="BJ106" i="30"/>
  <c r="DE106" i="30"/>
  <c r="CD106" i="30"/>
  <c r="CQ110" i="30"/>
  <c r="AU110" i="30"/>
  <c r="CY110" i="30"/>
  <c r="BO110" i="30"/>
  <c r="DG110" i="30"/>
  <c r="CI110" i="30"/>
  <c r="CO97" i="30"/>
  <c r="DE97" i="30"/>
  <c r="CU103" i="30"/>
  <c r="BE103" i="30"/>
  <c r="DC103" i="30"/>
  <c r="BY103" i="30"/>
  <c r="CO101" i="30"/>
  <c r="CS101" i="30"/>
  <c r="CW101" i="30"/>
  <c r="DA101" i="30"/>
  <c r="DE101" i="30"/>
  <c r="CO105" i="30"/>
  <c r="CQ106" i="30"/>
  <c r="AU106" i="30"/>
  <c r="CY106" i="30"/>
  <c r="BO106" i="30"/>
  <c r="DG106" i="30"/>
  <c r="CI106" i="30"/>
  <c r="CS110" i="30"/>
  <c r="AZ110" i="30"/>
  <c r="DA110" i="30"/>
  <c r="BT110" i="30"/>
  <c r="CQ113" i="30"/>
  <c r="AU113" i="30"/>
  <c r="CY113" i="30"/>
  <c r="BO113" i="30"/>
  <c r="DG113" i="30"/>
  <c r="CI113" i="30"/>
  <c r="CQ115" i="30"/>
  <c r="AU115" i="30"/>
  <c r="CY115" i="30"/>
  <c r="BO115" i="30"/>
  <c r="DG115" i="30"/>
  <c r="CI115" i="30"/>
  <c r="CQ100" i="30"/>
  <c r="CU100" i="30"/>
  <c r="CU105" i="30"/>
  <c r="CS106" i="30"/>
  <c r="AZ106" i="30"/>
  <c r="DA106" i="30"/>
  <c r="BT106" i="30"/>
  <c r="CU110" i="30"/>
  <c r="BE110" i="30"/>
  <c r="DC110" i="30"/>
  <c r="BY110" i="30"/>
  <c r="AU101" i="30"/>
  <c r="BE101" i="30"/>
  <c r="BO101" i="30"/>
  <c r="BY101" i="30"/>
  <c r="CI101" i="30"/>
  <c r="BE105" i="30"/>
  <c r="BY105" i="30"/>
  <c r="CW105" i="30"/>
  <c r="DC105" i="30"/>
  <c r="CU106" i="30"/>
  <c r="BE106" i="30"/>
  <c r="DC106" i="30"/>
  <c r="BY106" i="30"/>
  <c r="CO110" i="30"/>
  <c r="AP110" i="30"/>
  <c r="Y30" i="13" s="1"/>
  <c r="CW110" i="30"/>
  <c r="BJ110" i="30"/>
  <c r="DE110" i="30"/>
  <c r="CD110" i="30"/>
  <c r="DC113" i="30"/>
  <c r="BY113" i="30"/>
  <c r="CO113" i="30"/>
  <c r="CS115" i="30"/>
  <c r="AZ115" i="30"/>
  <c r="DA115" i="30"/>
  <c r="BT115" i="30"/>
  <c r="DA116" i="30"/>
  <c r="BT116" i="30"/>
  <c r="CQ117" i="30"/>
  <c r="AU117" i="30"/>
  <c r="CY117" i="30"/>
  <c r="BO117" i="30"/>
  <c r="DG117" i="30"/>
  <c r="CI117" i="30"/>
  <c r="BT113" i="30"/>
  <c r="DA113" i="30"/>
  <c r="CD113" i="30"/>
  <c r="DE113" i="30"/>
  <c r="CU115" i="30"/>
  <c r="BE115" i="30"/>
  <c r="DC115" i="30"/>
  <c r="BY115" i="30"/>
  <c r="CS116" i="30"/>
  <c r="AZ116" i="30"/>
  <c r="CS120" i="30"/>
  <c r="AZ120" i="30"/>
  <c r="DA120" i="30"/>
  <c r="BT120" i="30"/>
  <c r="CO115" i="30"/>
  <c r="AP115" i="30"/>
  <c r="CW115" i="30"/>
  <c r="BJ115" i="30"/>
  <c r="DE115" i="30"/>
  <c r="CD115" i="30"/>
  <c r="CU117" i="30"/>
  <c r="BE117" i="30"/>
  <c r="DC117" i="30"/>
  <c r="BY117" i="30"/>
  <c r="CU120" i="30"/>
  <c r="BE120" i="30"/>
  <c r="DC120" i="30"/>
  <c r="BY120" i="30"/>
  <c r="AP117" i="30"/>
  <c r="AZ117" i="30"/>
  <c r="BJ117" i="30"/>
  <c r="BT117" i="30"/>
  <c r="CD117" i="30"/>
  <c r="CO120" i="30"/>
  <c r="AP120" i="30"/>
  <c r="Y32" i="13" s="1"/>
  <c r="CW120" i="30"/>
  <c r="BJ120" i="30"/>
  <c r="DE120" i="30"/>
  <c r="CD120" i="30"/>
  <c r="BJ116" i="30"/>
  <c r="CD116" i="30"/>
  <c r="CO117" i="30"/>
  <c r="CW117" i="30"/>
  <c r="DE117" i="30"/>
  <c r="CQ120" i="30"/>
  <c r="AU120" i="30"/>
  <c r="CY120" i="30"/>
  <c r="BO120" i="30"/>
  <c r="DG120" i="30"/>
  <c r="CI120" i="30"/>
  <c r="AP121" i="30"/>
  <c r="AU121" i="30"/>
  <c r="AZ121" i="30"/>
  <c r="BE121" i="30"/>
  <c r="BJ121" i="30"/>
  <c r="BO121" i="30"/>
  <c r="BT121" i="30"/>
  <c r="BY121" i="30"/>
  <c r="CD121" i="30"/>
  <c r="CI121" i="30"/>
  <c r="CQ121" i="30"/>
  <c r="CU121" i="30"/>
  <c r="CY121" i="30"/>
  <c r="DC121" i="30"/>
  <c r="DG121" i="30"/>
  <c r="BO118" i="30"/>
  <c r="BY118" i="30"/>
  <c r="CI118" i="30"/>
  <c r="CU115" i="6"/>
  <c r="CW119" i="6"/>
  <c r="CS117" i="6"/>
  <c r="BT117" i="6"/>
  <c r="DG119" i="6"/>
  <c r="DA119" i="6"/>
  <c r="CU121" i="6"/>
  <c r="CY119" i="6"/>
  <c r="CY117" i="6"/>
  <c r="DE117" i="6"/>
  <c r="CQ121" i="6"/>
  <c r="CO117" i="6"/>
  <c r="CW117" i="6"/>
  <c r="CQ119" i="6"/>
  <c r="DC115" i="6"/>
  <c r="CQ117" i="6"/>
  <c r="CO119" i="6"/>
  <c r="DG115" i="6"/>
  <c r="DG121" i="6"/>
  <c r="DG117" i="6"/>
  <c r="CU117" i="6"/>
  <c r="DE119" i="6"/>
  <c r="CS119" i="6"/>
  <c r="DC121" i="6"/>
  <c r="CQ115" i="6"/>
  <c r="BY117" i="6"/>
  <c r="CY121" i="6"/>
  <c r="CY115" i="6"/>
  <c r="DC119" i="6"/>
  <c r="CU119" i="6"/>
  <c r="BY116" i="6"/>
  <c r="DC116" i="6"/>
  <c r="BT116" i="6"/>
  <c r="DA116" i="6"/>
  <c r="AZ116" i="6"/>
  <c r="CS116" i="6"/>
  <c r="BE116" i="6"/>
  <c r="CU116" i="6"/>
  <c r="CI116" i="6"/>
  <c r="DG116" i="6"/>
  <c r="BO116" i="6"/>
  <c r="CY116" i="6"/>
  <c r="AU116" i="6"/>
  <c r="CQ116" i="6"/>
  <c r="CD116" i="6"/>
  <c r="DE116" i="6"/>
  <c r="BJ116" i="6"/>
  <c r="CW116" i="6"/>
  <c r="AP116" i="6"/>
  <c r="CO116" i="6"/>
  <c r="DG118" i="6"/>
  <c r="DC118" i="6"/>
  <c r="CY118" i="6"/>
  <c r="CU118" i="6"/>
  <c r="CQ118" i="6"/>
  <c r="CD118" i="6"/>
  <c r="BT118" i="6"/>
  <c r="BJ118" i="6"/>
  <c r="AZ118" i="6"/>
  <c r="AP118" i="6"/>
  <c r="DE120" i="6"/>
  <c r="DA120" i="6"/>
  <c r="CW120" i="6"/>
  <c r="CS120" i="6"/>
  <c r="CO120" i="6"/>
  <c r="DE121" i="6"/>
  <c r="DA121" i="6"/>
  <c r="CW121" i="6"/>
  <c r="CS121" i="6"/>
  <c r="CO121" i="6"/>
  <c r="CO118" i="6"/>
  <c r="DG120" i="6"/>
  <c r="DC120" i="6"/>
  <c r="CY120" i="6"/>
  <c r="CU120" i="6"/>
  <c r="CQ120" i="6"/>
  <c r="DE115" i="6"/>
  <c r="DA115" i="6"/>
  <c r="CW115" i="6"/>
  <c r="CS115" i="6"/>
  <c r="CO115" i="6"/>
  <c r="AD114" i="6"/>
  <c r="AJ114" i="6"/>
  <c r="CM114" i="6" s="1"/>
  <c r="AL114" i="6"/>
  <c r="AN114" i="6"/>
  <c r="AS114" i="6"/>
  <c r="AX114" i="6"/>
  <c r="CS114" i="6" s="1"/>
  <c r="BC114" i="6"/>
  <c r="BH114" i="6"/>
  <c r="CW114" i="6" s="1"/>
  <c r="BM114" i="6"/>
  <c r="BR114" i="6"/>
  <c r="DA114" i="6" s="1"/>
  <c r="BW114" i="6"/>
  <c r="CB114" i="6"/>
  <c r="DE114" i="6" s="1"/>
  <c r="CG114" i="6"/>
  <c r="DG114" i="6" s="1"/>
  <c r="AI90" i="6"/>
  <c r="AI106" i="6"/>
  <c r="AI110" i="6"/>
  <c r="AD37" i="6"/>
  <c r="AD38" i="6"/>
  <c r="AD39" i="6"/>
  <c r="AD40" i="6"/>
  <c r="AD41" i="6"/>
  <c r="AD42" i="6"/>
  <c r="AD43" i="6"/>
  <c r="AD44" i="6"/>
  <c r="AD45" i="6"/>
  <c r="AD46" i="6"/>
  <c r="AD47" i="6"/>
  <c r="AD48" i="6"/>
  <c r="AD49" i="6"/>
  <c r="AD50" i="6"/>
  <c r="AD51" i="6"/>
  <c r="AD52" i="6"/>
  <c r="AD53" i="6"/>
  <c r="AD54" i="6"/>
  <c r="AD55" i="6"/>
  <c r="AD56" i="6"/>
  <c r="AD57" i="6"/>
  <c r="AD58" i="6"/>
  <c r="AD59" i="6"/>
  <c r="AD60" i="6"/>
  <c r="AD61" i="6"/>
  <c r="AD62" i="6"/>
  <c r="AD63" i="6"/>
  <c r="AD64" i="6"/>
  <c r="AD65" i="6"/>
  <c r="AD66" i="6"/>
  <c r="AD67" i="6"/>
  <c r="AD68" i="6"/>
  <c r="AD69" i="6"/>
  <c r="AD70" i="6"/>
  <c r="AD71" i="6"/>
  <c r="AD72" i="6"/>
  <c r="AD73" i="6"/>
  <c r="AD74" i="6"/>
  <c r="AD75" i="6"/>
  <c r="AD76" i="6"/>
  <c r="AD77" i="6"/>
  <c r="AD78" i="6"/>
  <c r="AD79" i="6"/>
  <c r="AD80" i="6"/>
  <c r="AD81" i="6"/>
  <c r="AD82" i="6"/>
  <c r="AD83" i="6"/>
  <c r="AD84" i="6"/>
  <c r="AD85" i="6"/>
  <c r="AD86" i="6"/>
  <c r="AD87" i="6"/>
  <c r="AD88" i="6"/>
  <c r="AD89" i="6"/>
  <c r="AD90" i="6"/>
  <c r="AD91" i="6"/>
  <c r="AD92" i="6"/>
  <c r="AD93" i="6"/>
  <c r="AD94" i="6"/>
  <c r="AD95" i="6"/>
  <c r="AD96" i="6"/>
  <c r="AD97" i="6"/>
  <c r="AD98" i="6"/>
  <c r="AD99" i="6"/>
  <c r="AD100" i="6"/>
  <c r="AD101" i="6"/>
  <c r="AD102" i="6"/>
  <c r="AD103" i="6"/>
  <c r="AD104" i="6"/>
  <c r="AD105" i="6"/>
  <c r="AD106" i="6"/>
  <c r="AD107" i="6"/>
  <c r="AD108" i="6"/>
  <c r="AD109" i="6"/>
  <c r="AD110" i="6"/>
  <c r="AD111" i="6"/>
  <c r="AD112" i="6"/>
  <c r="AD113" i="6"/>
  <c r="AJ37" i="6"/>
  <c r="AJ38" i="6"/>
  <c r="AJ39" i="6"/>
  <c r="AJ40" i="6"/>
  <c r="AJ41" i="6"/>
  <c r="AJ42" i="6"/>
  <c r="AJ43" i="6"/>
  <c r="AJ44" i="6"/>
  <c r="AJ45" i="6"/>
  <c r="AJ46" i="6"/>
  <c r="AJ47" i="6"/>
  <c r="AJ48" i="6"/>
  <c r="AJ49" i="6"/>
  <c r="AJ50" i="6"/>
  <c r="AJ51" i="6"/>
  <c r="AJ52" i="6"/>
  <c r="AJ53" i="6"/>
  <c r="AJ54" i="6"/>
  <c r="AJ55" i="6"/>
  <c r="AJ56" i="6"/>
  <c r="AJ57" i="6"/>
  <c r="AJ58" i="6"/>
  <c r="AJ59" i="6"/>
  <c r="AJ60" i="6"/>
  <c r="AJ61" i="6"/>
  <c r="AJ62" i="6"/>
  <c r="AJ63" i="6"/>
  <c r="AJ64" i="6"/>
  <c r="AJ65" i="6"/>
  <c r="AJ66" i="6"/>
  <c r="AJ67" i="6"/>
  <c r="AJ68" i="6"/>
  <c r="AJ69" i="6"/>
  <c r="AJ70" i="6"/>
  <c r="AJ71" i="6"/>
  <c r="CM71" i="6" s="1"/>
  <c r="AJ72" i="6"/>
  <c r="CM72" i="6" s="1"/>
  <c r="AJ73" i="6"/>
  <c r="CM73" i="6" s="1"/>
  <c r="AJ74" i="6"/>
  <c r="CM74" i="6" s="1"/>
  <c r="AJ75" i="6"/>
  <c r="CM75" i="6" s="1"/>
  <c r="AJ76" i="6"/>
  <c r="CM76" i="6" s="1"/>
  <c r="AJ77" i="6"/>
  <c r="CM77" i="6" s="1"/>
  <c r="AJ78" i="6"/>
  <c r="CM78" i="6" s="1"/>
  <c r="AJ79" i="6"/>
  <c r="CM79" i="6" s="1"/>
  <c r="AJ80" i="6"/>
  <c r="CM80" i="6" s="1"/>
  <c r="AJ81" i="6"/>
  <c r="CM81" i="6" s="1"/>
  <c r="AJ82" i="6"/>
  <c r="CM82" i="6" s="1"/>
  <c r="AJ83" i="6"/>
  <c r="CM83" i="6" s="1"/>
  <c r="AJ84" i="6"/>
  <c r="CM84" i="6" s="1"/>
  <c r="AJ85" i="6"/>
  <c r="CM85" i="6" s="1"/>
  <c r="AJ86" i="6"/>
  <c r="CM86" i="6" s="1"/>
  <c r="AJ87" i="6"/>
  <c r="CM87" i="6" s="1"/>
  <c r="AJ88" i="6"/>
  <c r="CM88" i="6" s="1"/>
  <c r="AJ89" i="6"/>
  <c r="CM89" i="6" s="1"/>
  <c r="AJ90" i="6"/>
  <c r="CM90" i="6" s="1"/>
  <c r="AJ91" i="6"/>
  <c r="CM91" i="6" s="1"/>
  <c r="AJ92" i="6"/>
  <c r="CM92" i="6" s="1"/>
  <c r="AJ93" i="6"/>
  <c r="CM93" i="6" s="1"/>
  <c r="AJ94" i="6"/>
  <c r="CM94" i="6" s="1"/>
  <c r="AJ95" i="6"/>
  <c r="CM95" i="6" s="1"/>
  <c r="AJ96" i="6"/>
  <c r="CM96" i="6" s="1"/>
  <c r="AJ97" i="6"/>
  <c r="CM97" i="6" s="1"/>
  <c r="AJ98" i="6"/>
  <c r="CM98" i="6" s="1"/>
  <c r="AJ99" i="6"/>
  <c r="CM99" i="6" s="1"/>
  <c r="AJ100" i="6"/>
  <c r="CM100" i="6" s="1"/>
  <c r="AJ101" i="6"/>
  <c r="CM101" i="6" s="1"/>
  <c r="AJ102" i="6"/>
  <c r="CM102" i="6" s="1"/>
  <c r="AJ103" i="6"/>
  <c r="CM103" i="6" s="1"/>
  <c r="AJ104" i="6"/>
  <c r="CM104" i="6" s="1"/>
  <c r="AJ105" i="6"/>
  <c r="CM105" i="6" s="1"/>
  <c r="AJ106" i="6"/>
  <c r="CM106" i="6" s="1"/>
  <c r="AJ107" i="6"/>
  <c r="CM107" i="6" s="1"/>
  <c r="AJ108" i="6"/>
  <c r="CM108" i="6" s="1"/>
  <c r="AJ109" i="6"/>
  <c r="CM109" i="6" s="1"/>
  <c r="AJ110" i="6"/>
  <c r="CM110" i="6" s="1"/>
  <c r="AJ111" i="6"/>
  <c r="CM111" i="6" s="1"/>
  <c r="AJ112" i="6"/>
  <c r="CM112" i="6" s="1"/>
  <c r="AJ113" i="6"/>
  <c r="CM113" i="6" s="1"/>
  <c r="AL37" i="6"/>
  <c r="AL38" i="6"/>
  <c r="AL39" i="6"/>
  <c r="AL40" i="6"/>
  <c r="AL41" i="6"/>
  <c r="AL42" i="6"/>
  <c r="AL43" i="6"/>
  <c r="AL44" i="6"/>
  <c r="AL45" i="6"/>
  <c r="AL46" i="6"/>
  <c r="AL47" i="6"/>
  <c r="AL48" i="6"/>
  <c r="AL49" i="6"/>
  <c r="AL50" i="6"/>
  <c r="AL51" i="6"/>
  <c r="AL52" i="6"/>
  <c r="AL53" i="6"/>
  <c r="AL54" i="6"/>
  <c r="AL55" i="6"/>
  <c r="AL56" i="6"/>
  <c r="AL57" i="6"/>
  <c r="AL58" i="6"/>
  <c r="AL59" i="6"/>
  <c r="AL60" i="6"/>
  <c r="AL63" i="6"/>
  <c r="AL64" i="6"/>
  <c r="AL65" i="6"/>
  <c r="AL66" i="6"/>
  <c r="AL67" i="6"/>
  <c r="AL68" i="6"/>
  <c r="AL69" i="6"/>
  <c r="AL70" i="6"/>
  <c r="AL71" i="6"/>
  <c r="AL72" i="6"/>
  <c r="AL73" i="6"/>
  <c r="AL74" i="6"/>
  <c r="AL75" i="6"/>
  <c r="AL76" i="6"/>
  <c r="AL77" i="6"/>
  <c r="AL78" i="6"/>
  <c r="AL79" i="6"/>
  <c r="AL80" i="6"/>
  <c r="AL81" i="6"/>
  <c r="AL82" i="6"/>
  <c r="AL83" i="6"/>
  <c r="AL84" i="6"/>
  <c r="AL85" i="6"/>
  <c r="AL86" i="6"/>
  <c r="AL87" i="6"/>
  <c r="AL88" i="6"/>
  <c r="AL89" i="6"/>
  <c r="AL90" i="6"/>
  <c r="AL91" i="6"/>
  <c r="AL92" i="6"/>
  <c r="AL93" i="6"/>
  <c r="AL94" i="6"/>
  <c r="AL95" i="6"/>
  <c r="AL96" i="6"/>
  <c r="AL97" i="6"/>
  <c r="AL98" i="6"/>
  <c r="AL99" i="6"/>
  <c r="AL100" i="6"/>
  <c r="AL101" i="6"/>
  <c r="AL102" i="6"/>
  <c r="AL103" i="6"/>
  <c r="AL104" i="6"/>
  <c r="AL105" i="6"/>
  <c r="AL106" i="6"/>
  <c r="AL107" i="6"/>
  <c r="AL108" i="6"/>
  <c r="AL109" i="6"/>
  <c r="AL110" i="6"/>
  <c r="AL111" i="6"/>
  <c r="AL112" i="6"/>
  <c r="AL113" i="6"/>
  <c r="AN37" i="6"/>
  <c r="AP37" i="6" s="1"/>
  <c r="AN38" i="6"/>
  <c r="AN39" i="6"/>
  <c r="CO39" i="6" s="1"/>
  <c r="AN40" i="6"/>
  <c r="AP40" i="6" s="1"/>
  <c r="AN41" i="6"/>
  <c r="AP41" i="6" s="1"/>
  <c r="AN42" i="6"/>
  <c r="CO42" i="6" s="1"/>
  <c r="AN43" i="6"/>
  <c r="CO43" i="6" s="1"/>
  <c r="AN44" i="6"/>
  <c r="AN45" i="6"/>
  <c r="AP45" i="6" s="1"/>
  <c r="AN46" i="6"/>
  <c r="AN47" i="6"/>
  <c r="CO47" i="6" s="1"/>
  <c r="AN48" i="6"/>
  <c r="CO48" i="6" s="1"/>
  <c r="AN49" i="6"/>
  <c r="CO49" i="6" s="1"/>
  <c r="AN50" i="6"/>
  <c r="CO50" i="6" s="1"/>
  <c r="AN51" i="6"/>
  <c r="CO51" i="6" s="1"/>
  <c r="AN52" i="6"/>
  <c r="AN53" i="6"/>
  <c r="CO53" i="6" s="1"/>
  <c r="AN54" i="6"/>
  <c r="AN55" i="6"/>
  <c r="CO55" i="6" s="1"/>
  <c r="AN56" i="6"/>
  <c r="AN57" i="6"/>
  <c r="AP57" i="6" s="1"/>
  <c r="AN58" i="6"/>
  <c r="CO58" i="6" s="1"/>
  <c r="AN59" i="6"/>
  <c r="CO59" i="6" s="1"/>
  <c r="AN60" i="6"/>
  <c r="AP60" i="6" s="1"/>
  <c r="AN61" i="6"/>
  <c r="CO61" i="6" s="1"/>
  <c r="AN62" i="6"/>
  <c r="AP62" i="6" s="1"/>
  <c r="AN63" i="6"/>
  <c r="CO63" i="6" s="1"/>
  <c r="AN64" i="6"/>
  <c r="CO64" i="6" s="1"/>
  <c r="AN65" i="6"/>
  <c r="AP65" i="6" s="1"/>
  <c r="AN66" i="6"/>
  <c r="AP66" i="6" s="1"/>
  <c r="AN67" i="6"/>
  <c r="CO67" i="6" s="1"/>
  <c r="AN68" i="6"/>
  <c r="AN69" i="6"/>
  <c r="AP69" i="6" s="1"/>
  <c r="AN70" i="6"/>
  <c r="AP70" i="6" s="1"/>
  <c r="AN71" i="6"/>
  <c r="CO71" i="6" s="1"/>
  <c r="AN72" i="6"/>
  <c r="AN73" i="6"/>
  <c r="AP73" i="6" s="1"/>
  <c r="AN74" i="6"/>
  <c r="AP74" i="6" s="1"/>
  <c r="AN75" i="6"/>
  <c r="CO75" i="6" s="1"/>
  <c r="AN76" i="6"/>
  <c r="AN77" i="6"/>
  <c r="CO77" i="6" s="1"/>
  <c r="AN78" i="6"/>
  <c r="AP78" i="6" s="1"/>
  <c r="AN79" i="6"/>
  <c r="CO79" i="6" s="1"/>
  <c r="AN80" i="6"/>
  <c r="AN81" i="6"/>
  <c r="CO81" i="6" s="1"/>
  <c r="AN82" i="6"/>
  <c r="CO82" i="6" s="1"/>
  <c r="AN83" i="6"/>
  <c r="CO83" i="6" s="1"/>
  <c r="AN84" i="6"/>
  <c r="AN85" i="6"/>
  <c r="AP85" i="6" s="1"/>
  <c r="AN86" i="6"/>
  <c r="AP86" i="6" s="1"/>
  <c r="AN87" i="6"/>
  <c r="CO87" i="6" s="1"/>
  <c r="AN88" i="6"/>
  <c r="CO88" i="6" s="1"/>
  <c r="AN89" i="6"/>
  <c r="CO89" i="6" s="1"/>
  <c r="AN90" i="6"/>
  <c r="CO90" i="6" s="1"/>
  <c r="AN91" i="6"/>
  <c r="CO91" i="6" s="1"/>
  <c r="AN92" i="6"/>
  <c r="CO92" i="6" s="1"/>
  <c r="AN93" i="6"/>
  <c r="AP93" i="6" s="1"/>
  <c r="AN94" i="6"/>
  <c r="AN95" i="6"/>
  <c r="CO95" i="6" s="1"/>
  <c r="AN96" i="6"/>
  <c r="AP96" i="6" s="1"/>
  <c r="AN97" i="6"/>
  <c r="CO97" i="6" s="1"/>
  <c r="AN98" i="6"/>
  <c r="AP98" i="6" s="1"/>
  <c r="AN99" i="6"/>
  <c r="CO99" i="6" s="1"/>
  <c r="AN100" i="6"/>
  <c r="AN101" i="6"/>
  <c r="AP101" i="6" s="1"/>
  <c r="AN102" i="6"/>
  <c r="AP102" i="6" s="1"/>
  <c r="AN103" i="6"/>
  <c r="CO103" i="6" s="1"/>
  <c r="AN104" i="6"/>
  <c r="AN105" i="6"/>
  <c r="CO105" i="6" s="1"/>
  <c r="AN106" i="6"/>
  <c r="AN107" i="6"/>
  <c r="CO107" i="6" s="1"/>
  <c r="AN108" i="6"/>
  <c r="AN109" i="6"/>
  <c r="CO109" i="6" s="1"/>
  <c r="AN110" i="6"/>
  <c r="AN111" i="6"/>
  <c r="CO111" i="6" s="1"/>
  <c r="AN112" i="6"/>
  <c r="AN113" i="6"/>
  <c r="AP113" i="6" s="1"/>
  <c r="AS37" i="6"/>
  <c r="CQ37" i="6" s="1"/>
  <c r="AS38" i="6"/>
  <c r="AS39" i="6"/>
  <c r="CQ39" i="6" s="1"/>
  <c r="AS40" i="6"/>
  <c r="AS41" i="6"/>
  <c r="CQ41" i="6" s="1"/>
  <c r="AS42" i="6"/>
  <c r="AS43" i="6"/>
  <c r="CQ43" i="6" s="1"/>
  <c r="AS44" i="6"/>
  <c r="AS45" i="6"/>
  <c r="CQ45" i="6" s="1"/>
  <c r="AS46" i="6"/>
  <c r="CQ46" i="6" s="1"/>
  <c r="AS47" i="6"/>
  <c r="CQ47" i="6" s="1"/>
  <c r="AS48" i="6"/>
  <c r="AS49" i="6"/>
  <c r="CQ49" i="6" s="1"/>
  <c r="AS50" i="6"/>
  <c r="CQ50" i="6" s="1"/>
  <c r="AS51" i="6"/>
  <c r="AS52" i="6"/>
  <c r="AS53" i="6"/>
  <c r="CQ53" i="6" s="1"/>
  <c r="AS54" i="6"/>
  <c r="CQ54" i="6" s="1"/>
  <c r="AS55" i="6"/>
  <c r="AS56" i="6"/>
  <c r="AS57" i="6"/>
  <c r="CQ57" i="6" s="1"/>
  <c r="AS58" i="6"/>
  <c r="CQ58" i="6" s="1"/>
  <c r="AS59" i="6"/>
  <c r="CQ59" i="6" s="1"/>
  <c r="AS60" i="6"/>
  <c r="AS61" i="6"/>
  <c r="CQ61" i="6" s="1"/>
  <c r="AS62" i="6"/>
  <c r="AS63" i="6"/>
  <c r="CQ63" i="6" s="1"/>
  <c r="AS64" i="6"/>
  <c r="AS65" i="6"/>
  <c r="CQ65" i="6" s="1"/>
  <c r="AS66" i="6"/>
  <c r="AS67" i="6"/>
  <c r="AS68" i="6"/>
  <c r="AS69" i="6"/>
  <c r="CQ69" i="6" s="1"/>
  <c r="AS70" i="6"/>
  <c r="CQ70" i="6" s="1"/>
  <c r="AS71" i="6"/>
  <c r="CQ71" i="6" s="1"/>
  <c r="AS72" i="6"/>
  <c r="AS73" i="6"/>
  <c r="CQ73" i="6" s="1"/>
  <c r="AS74" i="6"/>
  <c r="AS75" i="6"/>
  <c r="AS76" i="6"/>
  <c r="AS77" i="6"/>
  <c r="CQ77" i="6" s="1"/>
  <c r="AS78" i="6"/>
  <c r="AS79" i="6"/>
  <c r="AS80" i="6"/>
  <c r="AS81" i="6"/>
  <c r="CQ81" i="6" s="1"/>
  <c r="AS82" i="6"/>
  <c r="CQ82" i="6" s="1"/>
  <c r="AS83" i="6"/>
  <c r="AS84" i="6"/>
  <c r="AS85" i="6"/>
  <c r="CQ85" i="6" s="1"/>
  <c r="AS86" i="6"/>
  <c r="CQ86" i="6" s="1"/>
  <c r="AS87" i="6"/>
  <c r="AS88" i="6"/>
  <c r="AS89" i="6"/>
  <c r="CQ89" i="6" s="1"/>
  <c r="AS90" i="6"/>
  <c r="CQ90" i="6" s="1"/>
  <c r="AS91" i="6"/>
  <c r="CQ91" i="6" s="1"/>
  <c r="AS92" i="6"/>
  <c r="AS93" i="6"/>
  <c r="CQ93" i="6" s="1"/>
  <c r="AS94" i="6"/>
  <c r="AS95" i="6"/>
  <c r="AS96" i="6"/>
  <c r="AS97" i="6"/>
  <c r="CQ97" i="6" s="1"/>
  <c r="AS98" i="6"/>
  <c r="AS99" i="6"/>
  <c r="AS100" i="6"/>
  <c r="AS101" i="6"/>
  <c r="CQ101" i="6" s="1"/>
  <c r="AS102" i="6"/>
  <c r="AS103" i="6"/>
  <c r="AS104" i="6"/>
  <c r="AS105" i="6"/>
  <c r="CQ105" i="6" s="1"/>
  <c r="AS106" i="6"/>
  <c r="AS107" i="6"/>
  <c r="AS108" i="6"/>
  <c r="AS109" i="6"/>
  <c r="CQ109" i="6" s="1"/>
  <c r="AS110" i="6"/>
  <c r="CQ110" i="6" s="1"/>
  <c r="AS111" i="6"/>
  <c r="AS112" i="6"/>
  <c r="AS113" i="6"/>
  <c r="CQ113" i="6" s="1"/>
  <c r="AX37" i="6"/>
  <c r="CS37" i="6" s="1"/>
  <c r="AX38" i="6"/>
  <c r="CS38" i="6" s="1"/>
  <c r="AX39" i="6"/>
  <c r="CS39" i="6" s="1"/>
  <c r="AX40" i="6"/>
  <c r="AX41" i="6"/>
  <c r="CS41" i="6" s="1"/>
  <c r="AX42" i="6"/>
  <c r="AX43" i="6"/>
  <c r="CS43" i="6" s="1"/>
  <c r="AX44" i="6"/>
  <c r="AX45" i="6"/>
  <c r="CS45" i="6" s="1"/>
  <c r="AX46" i="6"/>
  <c r="AX47" i="6"/>
  <c r="CS47" i="6" s="1"/>
  <c r="AX48" i="6"/>
  <c r="AX49" i="6"/>
  <c r="CS49" i="6" s="1"/>
  <c r="AX50" i="6"/>
  <c r="CS50" i="6" s="1"/>
  <c r="AX51" i="6"/>
  <c r="AX52" i="6"/>
  <c r="AX53" i="6"/>
  <c r="CS53" i="6" s="1"/>
  <c r="AX54" i="6"/>
  <c r="AX55" i="6"/>
  <c r="CS55" i="6" s="1"/>
  <c r="AX56" i="6"/>
  <c r="AX57" i="6"/>
  <c r="CS57" i="6" s="1"/>
  <c r="AX58" i="6"/>
  <c r="AX59" i="6"/>
  <c r="CS59" i="6" s="1"/>
  <c r="AX60" i="6"/>
  <c r="AX61" i="6"/>
  <c r="CS61" i="6" s="1"/>
  <c r="AX62" i="6"/>
  <c r="AX63" i="6"/>
  <c r="CS63" i="6" s="1"/>
  <c r="AX64" i="6"/>
  <c r="AX65" i="6"/>
  <c r="CS65" i="6" s="1"/>
  <c r="AX66" i="6"/>
  <c r="AX67" i="6"/>
  <c r="AX68" i="6"/>
  <c r="AX69" i="6"/>
  <c r="CS69" i="6" s="1"/>
  <c r="AX70" i="6"/>
  <c r="AX71" i="6"/>
  <c r="AX72" i="6"/>
  <c r="AX73" i="6"/>
  <c r="AX74" i="6"/>
  <c r="CS74" i="6" s="1"/>
  <c r="AX75" i="6"/>
  <c r="CS75" i="6" s="1"/>
  <c r="AX76" i="6"/>
  <c r="AX77" i="6"/>
  <c r="CS77" i="6" s="1"/>
  <c r="AX78" i="6"/>
  <c r="AX79" i="6"/>
  <c r="AX80" i="6"/>
  <c r="AX81" i="6"/>
  <c r="CS81" i="6" s="1"/>
  <c r="AX82" i="6"/>
  <c r="CS82" i="6" s="1"/>
  <c r="AX83" i="6"/>
  <c r="AX84" i="6"/>
  <c r="AX85" i="6"/>
  <c r="CS85" i="6" s="1"/>
  <c r="AX86" i="6"/>
  <c r="AX87" i="6"/>
  <c r="AX88" i="6"/>
  <c r="AX89" i="6"/>
  <c r="AX90" i="6"/>
  <c r="CS90" i="6" s="1"/>
  <c r="AX91" i="6"/>
  <c r="CS91" i="6" s="1"/>
  <c r="AX92" i="6"/>
  <c r="AX93" i="6"/>
  <c r="CS93" i="6" s="1"/>
  <c r="AX94" i="6"/>
  <c r="CS94" i="6" s="1"/>
  <c r="AX95" i="6"/>
  <c r="AX96" i="6"/>
  <c r="AX97" i="6"/>
  <c r="CS97" i="6" s="1"/>
  <c r="AX98" i="6"/>
  <c r="AX99" i="6"/>
  <c r="CS99" i="6" s="1"/>
  <c r="AX100" i="6"/>
  <c r="AX101" i="6"/>
  <c r="CS101" i="6" s="1"/>
  <c r="AX102" i="6"/>
  <c r="AX103" i="6"/>
  <c r="AX104" i="6"/>
  <c r="AX105" i="6"/>
  <c r="AX106" i="6"/>
  <c r="AX107" i="6"/>
  <c r="AX108" i="6"/>
  <c r="AX109" i="6"/>
  <c r="CS109" i="6" s="1"/>
  <c r="AX110" i="6"/>
  <c r="CS110" i="6" s="1"/>
  <c r="AX111" i="6"/>
  <c r="CS111" i="6" s="1"/>
  <c r="AX112" i="6"/>
  <c r="AX113" i="6"/>
  <c r="CS113" i="6" s="1"/>
  <c r="BC37" i="6"/>
  <c r="BC38" i="6"/>
  <c r="BC39" i="6"/>
  <c r="CU39" i="6" s="1"/>
  <c r="BC40" i="6"/>
  <c r="BC41" i="6"/>
  <c r="BC42" i="6"/>
  <c r="BC43" i="6"/>
  <c r="CU43" i="6" s="1"/>
  <c r="BC44" i="6"/>
  <c r="BC45" i="6"/>
  <c r="BC46" i="6"/>
  <c r="BC47" i="6"/>
  <c r="CU47" i="6" s="1"/>
  <c r="BC48" i="6"/>
  <c r="BC49" i="6"/>
  <c r="BC50" i="6"/>
  <c r="CU50" i="6" s="1"/>
  <c r="BC51" i="6"/>
  <c r="CU51" i="6" s="1"/>
  <c r="BC52" i="6"/>
  <c r="BC53" i="6"/>
  <c r="BC54" i="6"/>
  <c r="BC55" i="6"/>
  <c r="CU55" i="6" s="1"/>
  <c r="BC56" i="6"/>
  <c r="BC57" i="6"/>
  <c r="BC58" i="6"/>
  <c r="BC59" i="6"/>
  <c r="BC60" i="6"/>
  <c r="BC61" i="6"/>
  <c r="BC62" i="6"/>
  <c r="BC63" i="6"/>
  <c r="CU63" i="6" s="1"/>
  <c r="BC64" i="6"/>
  <c r="BC65" i="6"/>
  <c r="BC66" i="6"/>
  <c r="BC67" i="6"/>
  <c r="BC68" i="6"/>
  <c r="BC69" i="6"/>
  <c r="BC70" i="6"/>
  <c r="BC71" i="6"/>
  <c r="BC72" i="6"/>
  <c r="CU72" i="6" s="1"/>
  <c r="BC73" i="6"/>
  <c r="BC74" i="6"/>
  <c r="BC75" i="6"/>
  <c r="BC76" i="6"/>
  <c r="BC77" i="6"/>
  <c r="BC78" i="6"/>
  <c r="BC79" i="6"/>
  <c r="CU79" i="6" s="1"/>
  <c r="BC80" i="6"/>
  <c r="BC81" i="6"/>
  <c r="BC82" i="6"/>
  <c r="BC83" i="6"/>
  <c r="BC84" i="6"/>
  <c r="BC85" i="6"/>
  <c r="BC86" i="6"/>
  <c r="BC87" i="6"/>
  <c r="BC88" i="6"/>
  <c r="BC89" i="6"/>
  <c r="BC90" i="6"/>
  <c r="BC91" i="6"/>
  <c r="CU91" i="6" s="1"/>
  <c r="BC92" i="6"/>
  <c r="CU92" i="6" s="1"/>
  <c r="BC93" i="6"/>
  <c r="BC94" i="6"/>
  <c r="BC95" i="6"/>
  <c r="BC96" i="6"/>
  <c r="BC97" i="6"/>
  <c r="BC98" i="6"/>
  <c r="BC99" i="6"/>
  <c r="BC100" i="6"/>
  <c r="BC101" i="6"/>
  <c r="BC102" i="6"/>
  <c r="BC103" i="6"/>
  <c r="CU103" i="6" s="1"/>
  <c r="BC104" i="6"/>
  <c r="BC105" i="6"/>
  <c r="BC106" i="6"/>
  <c r="BC107" i="6"/>
  <c r="BC108" i="6"/>
  <c r="BC109" i="6"/>
  <c r="BC110" i="6"/>
  <c r="BC111" i="6"/>
  <c r="BC112" i="6"/>
  <c r="BC113" i="6"/>
  <c r="BH37" i="6"/>
  <c r="BH38" i="6"/>
  <c r="CW38" i="6" s="1"/>
  <c r="BH39" i="6"/>
  <c r="CW39" i="6" s="1"/>
  <c r="BH40" i="6"/>
  <c r="BH41" i="6"/>
  <c r="BH42" i="6"/>
  <c r="BH43" i="6"/>
  <c r="BH44" i="6"/>
  <c r="BH45" i="6"/>
  <c r="BH46" i="6"/>
  <c r="BH47" i="6"/>
  <c r="CW47" i="6" s="1"/>
  <c r="BH48" i="6"/>
  <c r="CW48" i="6" s="1"/>
  <c r="BH49" i="6"/>
  <c r="BH50" i="6"/>
  <c r="CW50" i="6" s="1"/>
  <c r="BH51" i="6"/>
  <c r="BH52" i="6"/>
  <c r="BH53" i="6"/>
  <c r="CW53" i="6" s="1"/>
  <c r="BH54" i="6"/>
  <c r="CW54" i="6" s="1"/>
  <c r="BH55" i="6"/>
  <c r="BH56" i="6"/>
  <c r="BH57" i="6"/>
  <c r="BH58" i="6"/>
  <c r="BH59" i="6"/>
  <c r="BH60" i="6"/>
  <c r="BH61" i="6"/>
  <c r="BH62" i="6"/>
  <c r="BH63" i="6"/>
  <c r="BH64" i="6"/>
  <c r="CW64" i="6" s="1"/>
  <c r="BH65" i="6"/>
  <c r="BH66" i="6"/>
  <c r="BH67" i="6"/>
  <c r="BH68" i="6"/>
  <c r="CW68" i="6" s="1"/>
  <c r="BH69" i="6"/>
  <c r="BH70" i="6"/>
  <c r="BH71" i="6"/>
  <c r="BH72" i="6"/>
  <c r="BH73" i="6"/>
  <c r="BH74" i="6"/>
  <c r="BH75" i="6"/>
  <c r="BH76" i="6"/>
  <c r="BH77" i="6"/>
  <c r="BH78" i="6"/>
  <c r="BH79" i="6"/>
  <c r="BH80" i="6"/>
  <c r="CW80" i="6" s="1"/>
  <c r="BH81" i="6"/>
  <c r="CW81" i="6" s="1"/>
  <c r="BH82" i="6"/>
  <c r="CW82" i="6" s="1"/>
  <c r="BH83" i="6"/>
  <c r="BH84" i="6"/>
  <c r="BH85" i="6"/>
  <c r="BH86" i="6"/>
  <c r="BH87" i="6"/>
  <c r="BH88" i="6"/>
  <c r="BH89" i="6"/>
  <c r="BH90" i="6"/>
  <c r="BH91" i="6"/>
  <c r="BH92" i="6"/>
  <c r="BH93" i="6"/>
  <c r="BH94" i="6"/>
  <c r="BH95" i="6"/>
  <c r="BH96" i="6"/>
  <c r="CW96" i="6" s="1"/>
  <c r="BH97" i="6"/>
  <c r="BH98" i="6"/>
  <c r="BH99" i="6"/>
  <c r="BH100" i="6"/>
  <c r="BH101" i="6"/>
  <c r="BH102" i="6"/>
  <c r="CW102" i="6" s="1"/>
  <c r="BH103" i="6"/>
  <c r="BH104" i="6"/>
  <c r="BH105" i="6"/>
  <c r="BH106" i="6"/>
  <c r="BH107" i="6"/>
  <c r="BH108" i="6"/>
  <c r="BH109" i="6"/>
  <c r="CW109" i="6" s="1"/>
  <c r="BH110" i="6"/>
  <c r="BH111" i="6"/>
  <c r="BH112" i="6"/>
  <c r="CW112" i="6" s="1"/>
  <c r="BH113" i="6"/>
  <c r="BM37" i="6"/>
  <c r="BM38" i="6"/>
  <c r="CY38" i="6" s="1"/>
  <c r="BM39" i="6"/>
  <c r="CY39" i="6" s="1"/>
  <c r="BM40" i="6"/>
  <c r="BM41" i="6"/>
  <c r="BM42" i="6"/>
  <c r="BM43" i="6"/>
  <c r="BM44" i="6"/>
  <c r="CY44" i="6" s="1"/>
  <c r="BM45" i="6"/>
  <c r="BM46" i="6"/>
  <c r="CY46" i="6" s="1"/>
  <c r="BM47" i="6"/>
  <c r="BM48" i="6"/>
  <c r="CY48" i="6" s="1"/>
  <c r="BM49" i="6"/>
  <c r="CY49" i="6" s="1"/>
  <c r="BM50" i="6"/>
  <c r="CY50" i="6" s="1"/>
  <c r="BM51" i="6"/>
  <c r="BM52" i="6"/>
  <c r="BM53" i="6"/>
  <c r="CY53" i="6" s="1"/>
  <c r="BM54" i="6"/>
  <c r="CY54" i="6" s="1"/>
  <c r="BM55" i="6"/>
  <c r="BM56" i="6"/>
  <c r="BM57" i="6"/>
  <c r="BM58" i="6"/>
  <c r="BM59" i="6"/>
  <c r="BM60" i="6"/>
  <c r="BM61" i="6"/>
  <c r="BM62" i="6"/>
  <c r="BM63" i="6"/>
  <c r="CY63" i="6" s="1"/>
  <c r="BM64" i="6"/>
  <c r="CY64" i="6" s="1"/>
  <c r="BM65" i="6"/>
  <c r="CY65" i="6" s="1"/>
  <c r="BM66" i="6"/>
  <c r="CY66" i="6" s="1"/>
  <c r="BM67" i="6"/>
  <c r="BM68" i="6"/>
  <c r="BM69" i="6"/>
  <c r="BM70" i="6"/>
  <c r="BM71" i="6"/>
  <c r="BM72" i="6"/>
  <c r="BM73" i="6"/>
  <c r="BM74" i="6"/>
  <c r="BM75" i="6"/>
  <c r="BM76" i="6"/>
  <c r="CY76" i="6" s="1"/>
  <c r="BM77" i="6"/>
  <c r="BM78" i="6"/>
  <c r="BM79" i="6"/>
  <c r="CY79" i="6" s="1"/>
  <c r="BM80" i="6"/>
  <c r="BM81" i="6"/>
  <c r="CY81" i="6" s="1"/>
  <c r="BM82" i="6"/>
  <c r="BM83" i="6"/>
  <c r="BM84" i="6"/>
  <c r="BM85" i="6"/>
  <c r="BM86" i="6"/>
  <c r="BM87" i="6"/>
  <c r="BM88" i="6"/>
  <c r="BM89" i="6"/>
  <c r="CY89" i="6" s="1"/>
  <c r="BM90" i="6"/>
  <c r="BM91" i="6"/>
  <c r="BM92" i="6"/>
  <c r="BM93" i="6"/>
  <c r="BM94" i="6"/>
  <c r="BM95" i="6"/>
  <c r="CY95" i="6" s="1"/>
  <c r="BM96" i="6"/>
  <c r="BM97" i="6"/>
  <c r="CY97" i="6" s="1"/>
  <c r="BM98" i="6"/>
  <c r="BM99" i="6"/>
  <c r="BM100" i="6"/>
  <c r="BM101" i="6"/>
  <c r="BM102" i="6"/>
  <c r="BM103" i="6"/>
  <c r="BM104" i="6"/>
  <c r="BM105" i="6"/>
  <c r="CY105" i="6" s="1"/>
  <c r="BM106" i="6"/>
  <c r="BM107" i="6"/>
  <c r="BM108" i="6"/>
  <c r="CY108" i="6" s="1"/>
  <c r="BM109" i="6"/>
  <c r="CY109" i="6" s="1"/>
  <c r="BM110" i="6"/>
  <c r="BM111" i="6"/>
  <c r="BM112" i="6"/>
  <c r="BM113" i="6"/>
  <c r="CY113" i="6" s="1"/>
  <c r="BR37" i="6"/>
  <c r="BR38" i="6"/>
  <c r="DA38" i="6" s="1"/>
  <c r="BR39" i="6"/>
  <c r="DA39" i="6" s="1"/>
  <c r="BR40" i="6"/>
  <c r="DA40" i="6" s="1"/>
  <c r="BR41" i="6"/>
  <c r="DA41" i="6" s="1"/>
  <c r="BR42" i="6"/>
  <c r="BR43" i="6"/>
  <c r="DA43" i="6" s="1"/>
  <c r="BR44" i="6"/>
  <c r="DA44" i="6" s="1"/>
  <c r="BR45" i="6"/>
  <c r="BR46" i="6"/>
  <c r="BR47" i="6"/>
  <c r="DA47" i="6" s="1"/>
  <c r="BR48" i="6"/>
  <c r="DA48" i="6" s="1"/>
  <c r="BR49" i="6"/>
  <c r="BR50" i="6"/>
  <c r="DA50" i="6" s="1"/>
  <c r="BR51" i="6"/>
  <c r="DA51" i="6" s="1"/>
  <c r="BR52" i="6"/>
  <c r="DA52" i="6" s="1"/>
  <c r="BR53" i="6"/>
  <c r="DA53" i="6" s="1"/>
  <c r="BR54" i="6"/>
  <c r="BR55" i="6"/>
  <c r="DA55" i="6" s="1"/>
  <c r="BR56" i="6"/>
  <c r="DA56" i="6" s="1"/>
  <c r="BR57" i="6"/>
  <c r="DA57" i="6" s="1"/>
  <c r="BR58" i="6"/>
  <c r="DA58" i="6" s="1"/>
  <c r="BR59" i="6"/>
  <c r="DA59" i="6" s="1"/>
  <c r="BR60" i="6"/>
  <c r="DA60" i="6" s="1"/>
  <c r="BR61" i="6"/>
  <c r="BR62" i="6"/>
  <c r="BR63" i="6"/>
  <c r="DA63" i="6" s="1"/>
  <c r="BR64" i="6"/>
  <c r="DA64" i="6" s="1"/>
  <c r="BR65" i="6"/>
  <c r="BR66" i="6"/>
  <c r="BR67" i="6"/>
  <c r="DA67" i="6" s="1"/>
  <c r="BR68" i="6"/>
  <c r="DA68" i="6" s="1"/>
  <c r="BR69" i="6"/>
  <c r="BR70" i="6"/>
  <c r="BR71" i="6"/>
  <c r="BR72" i="6"/>
  <c r="DA72" i="6" s="1"/>
  <c r="BR73" i="6"/>
  <c r="DA73" i="6" s="1"/>
  <c r="BR74" i="6"/>
  <c r="BR75" i="6"/>
  <c r="BR76" i="6"/>
  <c r="DA76" i="6" s="1"/>
  <c r="BR77" i="6"/>
  <c r="BR78" i="6"/>
  <c r="BR79" i="6"/>
  <c r="DA79" i="6" s="1"/>
  <c r="BR80" i="6"/>
  <c r="DA80" i="6" s="1"/>
  <c r="BR81" i="6"/>
  <c r="DA81" i="6" s="1"/>
  <c r="BR82" i="6"/>
  <c r="DA82" i="6" s="1"/>
  <c r="BR83" i="6"/>
  <c r="DA83" i="6" s="1"/>
  <c r="BR84" i="6"/>
  <c r="DA84" i="6" s="1"/>
  <c r="BR85" i="6"/>
  <c r="BR86" i="6"/>
  <c r="BR87" i="6"/>
  <c r="DA87" i="6" s="1"/>
  <c r="BR88" i="6"/>
  <c r="DA88" i="6" s="1"/>
  <c r="BR89" i="6"/>
  <c r="DA89" i="6" s="1"/>
  <c r="BR90" i="6"/>
  <c r="DA90" i="6" s="1"/>
  <c r="BR91" i="6"/>
  <c r="DA91" i="6" s="1"/>
  <c r="BR92" i="6"/>
  <c r="DA92" i="6" s="1"/>
  <c r="BR93" i="6"/>
  <c r="BR94" i="6"/>
  <c r="BR95" i="6"/>
  <c r="DA95" i="6" s="1"/>
  <c r="BR96" i="6"/>
  <c r="DA96" i="6" s="1"/>
  <c r="BR97" i="6"/>
  <c r="BR98" i="6"/>
  <c r="BR99" i="6"/>
  <c r="DA99" i="6" s="1"/>
  <c r="BR100" i="6"/>
  <c r="DA100" i="6" s="1"/>
  <c r="BR101" i="6"/>
  <c r="BR102" i="6"/>
  <c r="BR103" i="6"/>
  <c r="BR104" i="6"/>
  <c r="DA104" i="6" s="1"/>
  <c r="BR105" i="6"/>
  <c r="DA105" i="6" s="1"/>
  <c r="BR106" i="6"/>
  <c r="BR107" i="6"/>
  <c r="DA107" i="6" s="1"/>
  <c r="BR108" i="6"/>
  <c r="DA108" i="6" s="1"/>
  <c r="BR109" i="6"/>
  <c r="DA109" i="6" s="1"/>
  <c r="BR110" i="6"/>
  <c r="BR111" i="6"/>
  <c r="BR112" i="6"/>
  <c r="DA112" i="6" s="1"/>
  <c r="BR113" i="6"/>
  <c r="BW37" i="6"/>
  <c r="DC37" i="6" s="1"/>
  <c r="BW38" i="6"/>
  <c r="DC38" i="6" s="1"/>
  <c r="BW39" i="6"/>
  <c r="DC39" i="6" s="1"/>
  <c r="BW40" i="6"/>
  <c r="BW41" i="6"/>
  <c r="DC41" i="6" s="1"/>
  <c r="BW42" i="6"/>
  <c r="DC42" i="6" s="1"/>
  <c r="BW43" i="6"/>
  <c r="BW44" i="6"/>
  <c r="BW45" i="6"/>
  <c r="DC45" i="6" s="1"/>
  <c r="BW46" i="6"/>
  <c r="DC46" i="6" s="1"/>
  <c r="BW47" i="6"/>
  <c r="BW48" i="6"/>
  <c r="BW49" i="6"/>
  <c r="DC49" i="6" s="1"/>
  <c r="BW50" i="6"/>
  <c r="DC50" i="6" s="1"/>
  <c r="BW51" i="6"/>
  <c r="BW52" i="6"/>
  <c r="DC52" i="6" s="1"/>
  <c r="BW53" i="6"/>
  <c r="DC53" i="6" s="1"/>
  <c r="BW54" i="6"/>
  <c r="DC54" i="6" s="1"/>
  <c r="BW55" i="6"/>
  <c r="BW56" i="6"/>
  <c r="BW57" i="6"/>
  <c r="DC57" i="6" s="1"/>
  <c r="BW58" i="6"/>
  <c r="BW59" i="6"/>
  <c r="BW60" i="6"/>
  <c r="BW61" i="6"/>
  <c r="DC61" i="6" s="1"/>
  <c r="BW62" i="6"/>
  <c r="BW63" i="6"/>
  <c r="BW64" i="6"/>
  <c r="BW65" i="6"/>
  <c r="DC65" i="6" s="1"/>
  <c r="BW66" i="6"/>
  <c r="BW67" i="6"/>
  <c r="BW68" i="6"/>
  <c r="BW69" i="6"/>
  <c r="BW70" i="6"/>
  <c r="BW71" i="6"/>
  <c r="BW72" i="6"/>
  <c r="BW73" i="6"/>
  <c r="DC73" i="6" s="1"/>
  <c r="BW74" i="6"/>
  <c r="BW75" i="6"/>
  <c r="BW76" i="6"/>
  <c r="BW77" i="6"/>
  <c r="BW78" i="6"/>
  <c r="DC78" i="6" s="1"/>
  <c r="BW79" i="6"/>
  <c r="DC79" i="6" s="1"/>
  <c r="BW80" i="6"/>
  <c r="BW81" i="6"/>
  <c r="DC81" i="6" s="1"/>
  <c r="BW82" i="6"/>
  <c r="DC82" i="6" s="1"/>
  <c r="BW83" i="6"/>
  <c r="BW84" i="6"/>
  <c r="BW85" i="6"/>
  <c r="BW86" i="6"/>
  <c r="BW87" i="6"/>
  <c r="DC87" i="6" s="1"/>
  <c r="BW88" i="6"/>
  <c r="BW89" i="6"/>
  <c r="DC89" i="6" s="1"/>
  <c r="BW90" i="6"/>
  <c r="BW91" i="6"/>
  <c r="BW92" i="6"/>
  <c r="DC92" i="6" s="1"/>
  <c r="BW93" i="6"/>
  <c r="DC93" i="6" s="1"/>
  <c r="BW94" i="6"/>
  <c r="DC94" i="6" s="1"/>
  <c r="BW95" i="6"/>
  <c r="BW96" i="6"/>
  <c r="BW97" i="6"/>
  <c r="DC97" i="6" s="1"/>
  <c r="BW98" i="6"/>
  <c r="BW99" i="6"/>
  <c r="BW100" i="6"/>
  <c r="BW101" i="6"/>
  <c r="BW102" i="6"/>
  <c r="DC102" i="6" s="1"/>
  <c r="BW103" i="6"/>
  <c r="BW104" i="6"/>
  <c r="DC104" i="6" s="1"/>
  <c r="BW105" i="6"/>
  <c r="DC105" i="6" s="1"/>
  <c r="BW106" i="6"/>
  <c r="BW107" i="6"/>
  <c r="BW108" i="6"/>
  <c r="BW109" i="6"/>
  <c r="DC109" i="6" s="1"/>
  <c r="BW110" i="6"/>
  <c r="DC110" i="6" s="1"/>
  <c r="BW111" i="6"/>
  <c r="BW112" i="6"/>
  <c r="BW113" i="6"/>
  <c r="DC113" i="6" s="1"/>
  <c r="CB37" i="6"/>
  <c r="DE37" i="6" s="1"/>
  <c r="CB38" i="6"/>
  <c r="CB39" i="6"/>
  <c r="DE39" i="6" s="1"/>
  <c r="CB40" i="6"/>
  <c r="CB41" i="6"/>
  <c r="CB42" i="6"/>
  <c r="CB43" i="6"/>
  <c r="DE43" i="6" s="1"/>
  <c r="CB44" i="6"/>
  <c r="CB45" i="6"/>
  <c r="CB46" i="6"/>
  <c r="CB47" i="6"/>
  <c r="DE47" i="6" s="1"/>
  <c r="CB48" i="6"/>
  <c r="CB49" i="6"/>
  <c r="CB50" i="6"/>
  <c r="DE50" i="6" s="1"/>
  <c r="CB51" i="6"/>
  <c r="CB52" i="6"/>
  <c r="CB53" i="6"/>
  <c r="DE53" i="6" s="1"/>
  <c r="CB54" i="6"/>
  <c r="DE54" i="6" s="1"/>
  <c r="CB55" i="6"/>
  <c r="DE55" i="6" s="1"/>
  <c r="CB56" i="6"/>
  <c r="CB57" i="6"/>
  <c r="CB58" i="6"/>
  <c r="CB59" i="6"/>
  <c r="CB60" i="6"/>
  <c r="CB61" i="6"/>
  <c r="DE61" i="6" s="1"/>
  <c r="CB62" i="6"/>
  <c r="DE62" i="6" s="1"/>
  <c r="CB63" i="6"/>
  <c r="DE63" i="6" s="1"/>
  <c r="CB64" i="6"/>
  <c r="CB65" i="6"/>
  <c r="CB66" i="6"/>
  <c r="DE66" i="6" s="1"/>
  <c r="CB67" i="6"/>
  <c r="CB68" i="6"/>
  <c r="CB69" i="6"/>
  <c r="CB70" i="6"/>
  <c r="CB71" i="6"/>
  <c r="DE71" i="6" s="1"/>
  <c r="CB72" i="6"/>
  <c r="CB73" i="6"/>
  <c r="CB74" i="6"/>
  <c r="CB75" i="6"/>
  <c r="CB76" i="6"/>
  <c r="CB77" i="6"/>
  <c r="DE77" i="6" s="1"/>
  <c r="CB78" i="6"/>
  <c r="CB79" i="6"/>
  <c r="DE79" i="6" s="1"/>
  <c r="CB80" i="6"/>
  <c r="CB81" i="6"/>
  <c r="DE81" i="6" s="1"/>
  <c r="CB82" i="6"/>
  <c r="DE82" i="6" s="1"/>
  <c r="CB83" i="6"/>
  <c r="CB84" i="6"/>
  <c r="CB85" i="6"/>
  <c r="CB86" i="6"/>
  <c r="CB87" i="6"/>
  <c r="DE87" i="6" s="1"/>
  <c r="CB88" i="6"/>
  <c r="CB89" i="6"/>
  <c r="DE89" i="6" s="1"/>
  <c r="CB90" i="6"/>
  <c r="CB91" i="6"/>
  <c r="DE91" i="6" s="1"/>
  <c r="CB92" i="6"/>
  <c r="DE92" i="6" s="1"/>
  <c r="CB93" i="6"/>
  <c r="DE93" i="6" s="1"/>
  <c r="CB94" i="6"/>
  <c r="DE94" i="6" s="1"/>
  <c r="CB95" i="6"/>
  <c r="DE95" i="6" s="1"/>
  <c r="CB96" i="6"/>
  <c r="CB97" i="6"/>
  <c r="CB98" i="6"/>
  <c r="CB99" i="6"/>
  <c r="CB100" i="6"/>
  <c r="CB101" i="6"/>
  <c r="DE101" i="6" s="1"/>
  <c r="CB102" i="6"/>
  <c r="CB103" i="6"/>
  <c r="CB104" i="6"/>
  <c r="CB105" i="6"/>
  <c r="CB106" i="6"/>
  <c r="CB107" i="6"/>
  <c r="CB108" i="6"/>
  <c r="CB109" i="6"/>
  <c r="CB110" i="6"/>
  <c r="DE110" i="6" s="1"/>
  <c r="CB111" i="6"/>
  <c r="DE111" i="6" s="1"/>
  <c r="CB112" i="6"/>
  <c r="CB113" i="6"/>
  <c r="CG37" i="6"/>
  <c r="CG38" i="6"/>
  <c r="DG38" i="6" s="1"/>
  <c r="CG39" i="6"/>
  <c r="DG39" i="6" s="1"/>
  <c r="CG40" i="6"/>
  <c r="CG41" i="6"/>
  <c r="DG41" i="6" s="1"/>
  <c r="CG42" i="6"/>
  <c r="CG43" i="6"/>
  <c r="DG43" i="6" s="1"/>
  <c r="CG44" i="6"/>
  <c r="CG45" i="6"/>
  <c r="CG46" i="6"/>
  <c r="CG47" i="6"/>
  <c r="DG47" i="6" s="1"/>
  <c r="CG48" i="6"/>
  <c r="CG49" i="6"/>
  <c r="CG50" i="6"/>
  <c r="DG50" i="6" s="1"/>
  <c r="CG51" i="6"/>
  <c r="DG51" i="6" s="1"/>
  <c r="CG52" i="6"/>
  <c r="CG53" i="6"/>
  <c r="DG53" i="6" s="1"/>
  <c r="CG54" i="6"/>
  <c r="DG54" i="6" s="1"/>
  <c r="CG55" i="6"/>
  <c r="CG56" i="6"/>
  <c r="CG57" i="6"/>
  <c r="CG58" i="6"/>
  <c r="CG59" i="6"/>
  <c r="DG59" i="6" s="1"/>
  <c r="CG60" i="6"/>
  <c r="CG61" i="6"/>
  <c r="CG62" i="6"/>
  <c r="CG63" i="6"/>
  <c r="DG63" i="6" s="1"/>
  <c r="CG64" i="6"/>
  <c r="CG65" i="6"/>
  <c r="CG66" i="6"/>
  <c r="CG67" i="6"/>
  <c r="CG68" i="6"/>
  <c r="CG69" i="6"/>
  <c r="CG70" i="6"/>
  <c r="CG71" i="6"/>
  <c r="DG71" i="6" s="1"/>
  <c r="CG72" i="6"/>
  <c r="CG73" i="6"/>
  <c r="CG74" i="6"/>
  <c r="CG75" i="6"/>
  <c r="CG76" i="6"/>
  <c r="CG77" i="6"/>
  <c r="DG77" i="6" s="1"/>
  <c r="CG78" i="6"/>
  <c r="CG79" i="6"/>
  <c r="CG80" i="6"/>
  <c r="CG81" i="6"/>
  <c r="DG81" i="6" s="1"/>
  <c r="CG82" i="6"/>
  <c r="DG82" i="6" s="1"/>
  <c r="CG83" i="6"/>
  <c r="CG84" i="6"/>
  <c r="CG85" i="6"/>
  <c r="CG86" i="6"/>
  <c r="DG86" i="6" s="1"/>
  <c r="CG87" i="6"/>
  <c r="DG87" i="6" s="1"/>
  <c r="CG88" i="6"/>
  <c r="CG89" i="6"/>
  <c r="DG89" i="6" s="1"/>
  <c r="CG90" i="6"/>
  <c r="CG91" i="6"/>
  <c r="DG91" i="6" s="1"/>
  <c r="CG92" i="6"/>
  <c r="CG93" i="6"/>
  <c r="DG93" i="6" s="1"/>
  <c r="CG94" i="6"/>
  <c r="CG95" i="6"/>
  <c r="DG95" i="6" s="1"/>
  <c r="CG96" i="6"/>
  <c r="CG97" i="6"/>
  <c r="CG98" i="6"/>
  <c r="CG99" i="6"/>
  <c r="CG100" i="6"/>
  <c r="CG101" i="6"/>
  <c r="CG102" i="6"/>
  <c r="CG103" i="6"/>
  <c r="CG104" i="6"/>
  <c r="CG105" i="6"/>
  <c r="CG106" i="6"/>
  <c r="CG107" i="6"/>
  <c r="CG108" i="6"/>
  <c r="CG109" i="6"/>
  <c r="DG109" i="6" s="1"/>
  <c r="CG110" i="6"/>
  <c r="CG111" i="6"/>
  <c r="DG111" i="6" s="1"/>
  <c r="CG112" i="6"/>
  <c r="CG113" i="6"/>
  <c r="DG113" i="6" s="1"/>
  <c r="U47" i="6"/>
  <c r="U48" i="6"/>
  <c r="U49" i="6"/>
  <c r="U50" i="6"/>
  <c r="U51" i="6"/>
  <c r="U52" i="6"/>
  <c r="U53" i="6"/>
  <c r="U54" i="6"/>
  <c r="U55" i="6"/>
  <c r="U56" i="6"/>
  <c r="U57" i="6"/>
  <c r="U58" i="6"/>
  <c r="U59" i="6"/>
  <c r="U60" i="6"/>
  <c r="U61" i="6"/>
  <c r="U62" i="6"/>
  <c r="U63" i="6"/>
  <c r="U64" i="6"/>
  <c r="U65" i="6"/>
  <c r="U66" i="6"/>
  <c r="U67" i="6"/>
  <c r="U68" i="6"/>
  <c r="U69" i="6"/>
  <c r="U70" i="6"/>
  <c r="AA34" i="13" l="1"/>
  <c r="AB34" i="13" s="1"/>
  <c r="AC34" i="13"/>
  <c r="AC35" i="13"/>
  <c r="AA35" i="13"/>
  <c r="AB35" i="13" s="1"/>
  <c r="Y24" i="13"/>
  <c r="Y21" i="13"/>
  <c r="Y26" i="13"/>
  <c r="D19" i="4"/>
  <c r="G19" i="4"/>
  <c r="BK21" i="30"/>
  <c r="AI21" i="30"/>
  <c r="CD21" i="30"/>
  <c r="BT21" i="30"/>
  <c r="AZ21" i="30"/>
  <c r="CI21" i="30"/>
  <c r="BO21" i="30"/>
  <c r="BE21" i="30"/>
  <c r="AP21" i="30"/>
  <c r="BY21" i="30"/>
  <c r="BJ21" i="30"/>
  <c r="AU21" i="30"/>
  <c r="BZ21" i="30"/>
  <c r="BA21" i="30"/>
  <c r="DL37" i="30"/>
  <c r="Q29" i="30" s="1"/>
  <c r="DL23" i="30"/>
  <c r="DM23" i="30" s="1"/>
  <c r="DN23" i="30" s="1"/>
  <c r="DL34" i="30"/>
  <c r="DL36" i="30"/>
  <c r="DM36" i="30" s="1"/>
  <c r="DN36" i="30" s="1"/>
  <c r="DL53" i="30"/>
  <c r="Q43" i="30" s="1"/>
  <c r="DL54" i="30"/>
  <c r="Q44" i="30" s="1"/>
  <c r="DL68" i="30"/>
  <c r="Q34" i="30" s="1"/>
  <c r="DL56" i="30"/>
  <c r="DM56" i="30" s="1"/>
  <c r="DN56" i="30" s="1"/>
  <c r="DL66" i="30"/>
  <c r="DM66" i="30" s="1"/>
  <c r="DN66" i="30" s="1"/>
  <c r="DL80" i="30"/>
  <c r="DM80" i="30" s="1"/>
  <c r="DN80" i="30" s="1"/>
  <c r="DL88" i="30"/>
  <c r="DM88" i="30" s="1"/>
  <c r="DN88" i="30" s="1"/>
  <c r="DL101" i="30"/>
  <c r="DM101" i="30" s="1"/>
  <c r="DN101" i="30" s="1"/>
  <c r="DL109" i="30"/>
  <c r="DM109" i="30" s="1"/>
  <c r="DN109" i="30" s="1"/>
  <c r="DL116" i="30"/>
  <c r="DM116" i="30" s="1"/>
  <c r="DN116" i="30" s="1"/>
  <c r="BU21" i="30"/>
  <c r="AQ21" i="30"/>
  <c r="BP21" i="30"/>
  <c r="DL25" i="30"/>
  <c r="Q32" i="30" s="1"/>
  <c r="DL28" i="30"/>
  <c r="Q28" i="30" s="1"/>
  <c r="DL27" i="30"/>
  <c r="DM27" i="30" s="1"/>
  <c r="DN27" i="30" s="1"/>
  <c r="DL38" i="30"/>
  <c r="DM38" i="30" s="1"/>
  <c r="DN38" i="30" s="1"/>
  <c r="DL40" i="30"/>
  <c r="Q31" i="30" s="1"/>
  <c r="DL47" i="30"/>
  <c r="DL58" i="30"/>
  <c r="Q47" i="30" s="1"/>
  <c r="DL57" i="30"/>
  <c r="Q41" i="30" s="1"/>
  <c r="DL75" i="30"/>
  <c r="DM75" i="30" s="1"/>
  <c r="DN75" i="30" s="1"/>
  <c r="DL92" i="30"/>
  <c r="Q36" i="30" s="1"/>
  <c r="DL111" i="30"/>
  <c r="DM111" i="30" s="1"/>
  <c r="DN111" i="30" s="1"/>
  <c r="DL117" i="30"/>
  <c r="Q42" i="30" s="1"/>
  <c r="CJ21" i="30"/>
  <c r="DL29" i="30"/>
  <c r="DM29" i="30" s="1"/>
  <c r="DN29" i="30" s="1"/>
  <c r="DL42" i="30"/>
  <c r="DM42" i="30" s="1"/>
  <c r="DN42" i="30" s="1"/>
  <c r="DL48" i="30"/>
  <c r="DM48" i="30" s="1"/>
  <c r="DN48" i="30" s="1"/>
  <c r="DL44" i="30"/>
  <c r="Q26" i="30" s="1"/>
  <c r="DL49" i="30"/>
  <c r="DM49" i="30" s="1"/>
  <c r="DN49" i="30" s="1"/>
  <c r="DL59" i="30"/>
  <c r="Q23" i="30" s="1"/>
  <c r="DL61" i="30"/>
  <c r="DM61" i="30" s="1"/>
  <c r="DN61" i="30" s="1"/>
  <c r="DL63" i="30"/>
  <c r="Q38" i="30" s="1"/>
  <c r="DL62" i="30"/>
  <c r="DM62" i="30" s="1"/>
  <c r="DN62" i="30" s="1"/>
  <c r="DL79" i="30"/>
  <c r="DM79" i="30" s="1"/>
  <c r="DN79" i="30" s="1"/>
  <c r="DL87" i="30"/>
  <c r="DM87" i="30" s="1"/>
  <c r="DN87" i="30" s="1"/>
  <c r="DL97" i="30"/>
  <c r="DM97" i="30" s="1"/>
  <c r="DN97" i="30" s="1"/>
  <c r="DL108" i="30"/>
  <c r="Q48" i="30" s="1"/>
  <c r="DL112" i="30"/>
  <c r="Q46" i="30" s="1"/>
  <c r="CE21" i="30"/>
  <c r="BF21" i="30"/>
  <c r="AV21" i="30"/>
  <c r="DM34" i="30"/>
  <c r="DN34" i="30" s="1"/>
  <c r="DM47" i="30"/>
  <c r="DN47" i="30" s="1"/>
  <c r="DL30" i="30"/>
  <c r="Q40" i="30" s="1"/>
  <c r="DL22" i="30"/>
  <c r="DM22" i="30" s="1"/>
  <c r="DN22" i="30" s="1"/>
  <c r="DL33" i="30"/>
  <c r="DM33" i="30" s="1"/>
  <c r="DN33" i="30" s="1"/>
  <c r="DL32" i="30"/>
  <c r="DM32" i="30" s="1"/>
  <c r="DN32" i="30" s="1"/>
  <c r="DL39" i="30"/>
  <c r="DM39" i="30" s="1"/>
  <c r="DN39" i="30" s="1"/>
  <c r="DL50" i="30"/>
  <c r="DM50" i="30" s="1"/>
  <c r="DN50" i="30" s="1"/>
  <c r="DL64" i="30"/>
  <c r="DM64" i="30" s="1"/>
  <c r="DN64" i="30" s="1"/>
  <c r="DL52" i="30"/>
  <c r="Q30" i="30" s="1"/>
  <c r="DL65" i="30"/>
  <c r="Q39" i="30" s="1"/>
  <c r="DL76" i="30"/>
  <c r="Q37" i="30" s="1"/>
  <c r="DL70" i="30"/>
  <c r="DM70" i="30" s="1"/>
  <c r="DN70" i="30" s="1"/>
  <c r="DL82" i="30"/>
  <c r="Q25" i="30" s="1"/>
  <c r="DL91" i="30"/>
  <c r="Q33" i="30" s="1"/>
  <c r="DL94" i="30"/>
  <c r="DM94" i="30" s="1"/>
  <c r="DN94" i="30" s="1"/>
  <c r="DL90" i="30"/>
  <c r="DM90" i="30" s="1"/>
  <c r="DN90" i="30" s="1"/>
  <c r="DL100" i="30"/>
  <c r="DM100" i="30" s="1"/>
  <c r="DN100" i="30" s="1"/>
  <c r="DL105" i="30"/>
  <c r="DM105" i="30" s="1"/>
  <c r="DN105" i="30" s="1"/>
  <c r="DL113" i="30"/>
  <c r="Q22" i="30" s="1"/>
  <c r="AF35" i="13"/>
  <c r="AG35" i="13" s="1"/>
  <c r="AH35" i="13" s="1"/>
  <c r="AD35" i="13"/>
  <c r="AE35" i="13" s="1"/>
  <c r="AF34" i="13"/>
  <c r="AG34" i="13" s="1"/>
  <c r="AH34" i="13" s="1"/>
  <c r="AD34" i="13"/>
  <c r="AE34" i="13" s="1"/>
  <c r="AP110" i="6"/>
  <c r="CO41" i="6"/>
  <c r="CO98" i="6"/>
  <c r="CO40" i="6"/>
  <c r="CO96" i="6"/>
  <c r="CO60" i="6"/>
  <c r="DE59" i="6"/>
  <c r="DC77" i="6"/>
  <c r="CW106" i="6"/>
  <c r="CS105" i="6"/>
  <c r="AP106" i="6"/>
  <c r="CS89" i="6"/>
  <c r="CW74" i="6"/>
  <c r="CU48" i="6"/>
  <c r="CS73" i="6"/>
  <c r="CY96" i="6"/>
  <c r="CU96" i="6"/>
  <c r="DG73" i="6"/>
  <c r="DE73" i="6"/>
  <c r="DC40" i="6"/>
  <c r="DE103" i="6"/>
  <c r="DE97" i="6"/>
  <c r="DE75" i="6"/>
  <c r="DE113" i="6"/>
  <c r="CU111" i="6"/>
  <c r="CU75" i="6"/>
  <c r="DA111" i="6"/>
  <c r="CU95" i="6"/>
  <c r="CU59" i="6"/>
  <c r="CU107" i="6"/>
  <c r="CO57" i="6"/>
  <c r="CU99" i="6"/>
  <c r="CU83" i="6"/>
  <c r="CU67" i="6"/>
  <c r="AP49" i="6"/>
  <c r="AP97" i="6"/>
  <c r="CW98" i="6"/>
  <c r="CW66" i="6"/>
  <c r="CW90" i="6"/>
  <c r="CW46" i="6"/>
  <c r="CU74" i="6"/>
  <c r="CU62" i="6"/>
  <c r="DE44" i="6"/>
  <c r="CW58" i="6"/>
  <c r="CW42" i="6"/>
  <c r="CO66" i="6"/>
  <c r="AP61" i="6"/>
  <c r="DE49" i="6"/>
  <c r="CY41" i="6"/>
  <c r="DE69" i="6"/>
  <c r="DC100" i="6"/>
  <c r="DC80" i="6"/>
  <c r="CU104" i="6"/>
  <c r="CQ102" i="6"/>
  <c r="DE109" i="6"/>
  <c r="DE41" i="6"/>
  <c r="CU56" i="6"/>
  <c r="DE57" i="6"/>
  <c r="CU112" i="6"/>
  <c r="CU88" i="6"/>
  <c r="AP77" i="6"/>
  <c r="DG61" i="6"/>
  <c r="DG57" i="6"/>
  <c r="DG45" i="6"/>
  <c r="DG37" i="6"/>
  <c r="DE102" i="6"/>
  <c r="AP48" i="6"/>
  <c r="DA110" i="6"/>
  <c r="DA106" i="6"/>
  <c r="DA98" i="6"/>
  <c r="DA94" i="6"/>
  <c r="DA86" i="6"/>
  <c r="DA78" i="6"/>
  <c r="DA70" i="6"/>
  <c r="DA66" i="6"/>
  <c r="DA62" i="6"/>
  <c r="DA54" i="6"/>
  <c r="CS51" i="6"/>
  <c r="CQ95" i="6"/>
  <c r="CQ83" i="6"/>
  <c r="DA102" i="6"/>
  <c r="DA74" i="6"/>
  <c r="DA46" i="6"/>
  <c r="CW103" i="6"/>
  <c r="DA42" i="6"/>
  <c r="DC103" i="6"/>
  <c r="CY101" i="6"/>
  <c r="CY93" i="6"/>
  <c r="CY85" i="6"/>
  <c r="CY77" i="6"/>
  <c r="CY73" i="6"/>
  <c r="CY69" i="6"/>
  <c r="CY61" i="6"/>
  <c r="CY57" i="6"/>
  <c r="CY45" i="6"/>
  <c r="CY37" i="6"/>
  <c r="AP112" i="6"/>
  <c r="CO112" i="6"/>
  <c r="AP108" i="6"/>
  <c r="CO108" i="6"/>
  <c r="AP104" i="6"/>
  <c r="CO104" i="6"/>
  <c r="AP100" i="6"/>
  <c r="CO100" i="6"/>
  <c r="AP84" i="6"/>
  <c r="CO84" i="6"/>
  <c r="AP80" i="6"/>
  <c r="CO80" i="6"/>
  <c r="AP76" i="6"/>
  <c r="CO76" i="6"/>
  <c r="AP72" i="6"/>
  <c r="CO72" i="6"/>
  <c r="AP68" i="6"/>
  <c r="CO68" i="6"/>
  <c r="CO56" i="6"/>
  <c r="AP56" i="6"/>
  <c r="AP52" i="6"/>
  <c r="CO52" i="6"/>
  <c r="CO44" i="6"/>
  <c r="AP44" i="6"/>
  <c r="DE105" i="6"/>
  <c r="DE65" i="6"/>
  <c r="DE45" i="6"/>
  <c r="DE85" i="6"/>
  <c r="DC62" i="6"/>
  <c r="DE108" i="6"/>
  <c r="CY104" i="6"/>
  <c r="CY72" i="6"/>
  <c r="CO102" i="6"/>
  <c r="CO86" i="6"/>
  <c r="CO70" i="6"/>
  <c r="CY112" i="6"/>
  <c r="CU114" i="6"/>
  <c r="CY80" i="6"/>
  <c r="CO106" i="6"/>
  <c r="CO74" i="6"/>
  <c r="DG98" i="6"/>
  <c r="DE76" i="6"/>
  <c r="DC56" i="6"/>
  <c r="CY88" i="6"/>
  <c r="CY56" i="6"/>
  <c r="CU102" i="6"/>
  <c r="CU46" i="6"/>
  <c r="CS107" i="6"/>
  <c r="CS95" i="6"/>
  <c r="CQ74" i="6"/>
  <c r="CO110" i="6"/>
  <c r="CO94" i="6"/>
  <c r="CO78" i="6"/>
  <c r="CO62" i="6"/>
  <c r="AP42" i="6"/>
  <c r="CQ114" i="6"/>
  <c r="DG85" i="6"/>
  <c r="DG69" i="6"/>
  <c r="DG49" i="6"/>
  <c r="DE96" i="6"/>
  <c r="DE80" i="6"/>
  <c r="DE64" i="6"/>
  <c r="DE48" i="6"/>
  <c r="CY40" i="6"/>
  <c r="CU84" i="6"/>
  <c r="CU76" i="6"/>
  <c r="CU68" i="6"/>
  <c r="CU40" i="6"/>
  <c r="CS46" i="6"/>
  <c r="CQ94" i="6"/>
  <c r="CQ66" i="6"/>
  <c r="CQ42" i="6"/>
  <c r="CO113" i="6"/>
  <c r="CO101" i="6"/>
  <c r="CO93" i="6"/>
  <c r="CO85" i="6"/>
  <c r="CO73" i="6"/>
  <c r="CO69" i="6"/>
  <c r="CO65" i="6"/>
  <c r="CO45" i="6"/>
  <c r="AU58" i="6"/>
  <c r="AP64" i="6"/>
  <c r="CY114" i="6"/>
  <c r="DA71" i="6"/>
  <c r="CY92" i="6"/>
  <c r="CY60" i="6"/>
  <c r="CU100" i="6"/>
  <c r="CU52" i="6"/>
  <c r="CS102" i="6"/>
  <c r="CQ98" i="6"/>
  <c r="DG107" i="6"/>
  <c r="DE112" i="6"/>
  <c r="DA103" i="6"/>
  <c r="CY100" i="6"/>
  <c r="CY84" i="6"/>
  <c r="CY68" i="6"/>
  <c r="CU108" i="6"/>
  <c r="CU60" i="6"/>
  <c r="CQ106" i="6"/>
  <c r="CQ78" i="6"/>
  <c r="DG105" i="6"/>
  <c r="DG79" i="6"/>
  <c r="DE60" i="6"/>
  <c r="DA75" i="6"/>
  <c r="CY52" i="6"/>
  <c r="CU80" i="6"/>
  <c r="CU64" i="6"/>
  <c r="CU44" i="6"/>
  <c r="CQ62" i="6"/>
  <c r="CQ38" i="6"/>
  <c r="CO37" i="6"/>
  <c r="DG66" i="6"/>
  <c r="DG65" i="6"/>
  <c r="DC114" i="6"/>
  <c r="DG97" i="6"/>
  <c r="DG55" i="6"/>
  <c r="CY106" i="6"/>
  <c r="CY98" i="6"/>
  <c r="CY94" i="6"/>
  <c r="CY90" i="6"/>
  <c r="CY82" i="6"/>
  <c r="CY78" i="6"/>
  <c r="CY62" i="6"/>
  <c r="CY42" i="6"/>
  <c r="CW104" i="6"/>
  <c r="CW100" i="6"/>
  <c r="CW88" i="6"/>
  <c r="CW76" i="6"/>
  <c r="CW60" i="6"/>
  <c r="CW56" i="6"/>
  <c r="CW52" i="6"/>
  <c r="CW44" i="6"/>
  <c r="CW40" i="6"/>
  <c r="CS106" i="6"/>
  <c r="CS98" i="6"/>
  <c r="CS86" i="6"/>
  <c r="CS78" i="6"/>
  <c r="CS70" i="6"/>
  <c r="CS66" i="6"/>
  <c r="CS62" i="6"/>
  <c r="CS58" i="6"/>
  <c r="CS54" i="6"/>
  <c r="CS42" i="6"/>
  <c r="CQ111" i="6"/>
  <c r="CQ103" i="6"/>
  <c r="CQ99" i="6"/>
  <c r="CQ87" i="6"/>
  <c r="CQ79" i="6"/>
  <c r="CQ75" i="6"/>
  <c r="CQ67" i="6"/>
  <c r="CQ55" i="6"/>
  <c r="CQ51" i="6"/>
  <c r="DG99" i="6"/>
  <c r="CY110" i="6"/>
  <c r="CY58" i="6"/>
  <c r="CW92" i="6"/>
  <c r="CW72" i="6"/>
  <c r="CY102" i="6"/>
  <c r="CY86" i="6"/>
  <c r="DA113" i="6"/>
  <c r="DA49" i="6"/>
  <c r="DA45" i="6"/>
  <c r="DA37" i="6"/>
  <c r="CU110" i="6"/>
  <c r="CU106" i="6"/>
  <c r="CU98" i="6"/>
  <c r="CU94" i="6"/>
  <c r="CU90" i="6"/>
  <c r="CU86" i="6"/>
  <c r="CU82" i="6"/>
  <c r="CU78" i="6"/>
  <c r="CU70" i="6"/>
  <c r="CU66" i="6"/>
  <c r="CU58" i="6"/>
  <c r="CU54" i="6"/>
  <c r="CU42" i="6"/>
  <c r="CU38" i="6"/>
  <c r="DG83" i="6"/>
  <c r="CY74" i="6"/>
  <c r="CW108" i="6"/>
  <c r="CY70" i="6"/>
  <c r="CW84" i="6"/>
  <c r="DE106" i="6"/>
  <c r="DE86" i="6"/>
  <c r="DE78" i="6"/>
  <c r="DE74" i="6"/>
  <c r="DE46" i="6"/>
  <c r="DE42" i="6"/>
  <c r="DE38" i="6"/>
  <c r="DC112" i="6"/>
  <c r="DC108" i="6"/>
  <c r="DC96" i="6"/>
  <c r="DC88" i="6"/>
  <c r="DC84" i="6"/>
  <c r="DC76" i="6"/>
  <c r="DC72" i="6"/>
  <c r="DC68" i="6"/>
  <c r="DC64" i="6"/>
  <c r="DC60" i="6"/>
  <c r="DC48" i="6"/>
  <c r="DC44" i="6"/>
  <c r="CO54" i="6"/>
  <c r="AP54" i="6"/>
  <c r="CO46" i="6"/>
  <c r="AP46" i="6"/>
  <c r="AP38" i="6"/>
  <c r="CO38" i="6"/>
  <c r="AP82" i="6"/>
  <c r="DG101" i="6"/>
  <c r="AP90" i="6"/>
  <c r="AP58" i="6"/>
  <c r="CS71" i="6"/>
  <c r="CY87" i="6"/>
  <c r="CW110" i="6"/>
  <c r="CW94" i="6"/>
  <c r="CW86" i="6"/>
  <c r="CW78" i="6"/>
  <c r="CW70" i="6"/>
  <c r="CW62" i="6"/>
  <c r="CU87" i="6"/>
  <c r="CU71" i="6"/>
  <c r="CQ107" i="6"/>
  <c r="CS67" i="6"/>
  <c r="DC98" i="6"/>
  <c r="CY103" i="6"/>
  <c r="DG103" i="6"/>
  <c r="DG75" i="6"/>
  <c r="DG67" i="6"/>
  <c r="DE107" i="6"/>
  <c r="DC86" i="6"/>
  <c r="DC70" i="6"/>
  <c r="CS87" i="6"/>
  <c r="DE98" i="6"/>
  <c r="DE90" i="6"/>
  <c r="DE70" i="6"/>
  <c r="DE58" i="6"/>
  <c r="DA101" i="6"/>
  <c r="DA97" i="6"/>
  <c r="DA93" i="6"/>
  <c r="DA85" i="6"/>
  <c r="DA77" i="6"/>
  <c r="DA69" i="6"/>
  <c r="DA65" i="6"/>
  <c r="DA61" i="6"/>
  <c r="AP92" i="6"/>
  <c r="CS83" i="6"/>
  <c r="DC66" i="6"/>
  <c r="DC106" i="6"/>
  <c r="DC101" i="6"/>
  <c r="DC90" i="6"/>
  <c r="DC85" i="6"/>
  <c r="DC74" i="6"/>
  <c r="DC69" i="6"/>
  <c r="DC58" i="6"/>
  <c r="CS103" i="6"/>
  <c r="CS79" i="6"/>
  <c r="AP114" i="6"/>
  <c r="CO114" i="6"/>
  <c r="AP39" i="6"/>
  <c r="AP53" i="6"/>
  <c r="AP91" i="6"/>
  <c r="DG90" i="6"/>
  <c r="DG74" i="6"/>
  <c r="DG62" i="6"/>
  <c r="DG58" i="6"/>
  <c r="DG46" i="6"/>
  <c r="DG42" i="6"/>
  <c r="CS112" i="6"/>
  <c r="CS108" i="6"/>
  <c r="CS104" i="6"/>
  <c r="CS100" i="6"/>
  <c r="CS96" i="6"/>
  <c r="CS92" i="6"/>
  <c r="CS88" i="6"/>
  <c r="CS84" i="6"/>
  <c r="CS80" i="6"/>
  <c r="CS76" i="6"/>
  <c r="CS72" i="6"/>
  <c r="CS68" i="6"/>
  <c r="CS64" i="6"/>
  <c r="CS60" i="6"/>
  <c r="CS56" i="6"/>
  <c r="CS52" i="6"/>
  <c r="CS48" i="6"/>
  <c r="CS44" i="6"/>
  <c r="CS40" i="6"/>
  <c r="AP43" i="6"/>
  <c r="DG110" i="6"/>
  <c r="DG106" i="6"/>
  <c r="DG94" i="6"/>
  <c r="DG78" i="6"/>
  <c r="DG102" i="6"/>
  <c r="DG70" i="6"/>
  <c r="CW111" i="6"/>
  <c r="CW107" i="6"/>
  <c r="CW99" i="6"/>
  <c r="CW95" i="6"/>
  <c r="CW91" i="6"/>
  <c r="CW87" i="6"/>
  <c r="CW83" i="6"/>
  <c r="CW79" i="6"/>
  <c r="CW75" i="6"/>
  <c r="CW71" i="6"/>
  <c r="CW67" i="6"/>
  <c r="CW63" i="6"/>
  <c r="CW59" i="6"/>
  <c r="CW55" i="6"/>
  <c r="CW51" i="6"/>
  <c r="CW43" i="6"/>
  <c r="CQ112" i="6"/>
  <c r="CQ108" i="6"/>
  <c r="CQ104" i="6"/>
  <c r="CQ100" i="6"/>
  <c r="CQ96" i="6"/>
  <c r="CQ92" i="6"/>
  <c r="CQ88" i="6"/>
  <c r="CQ84" i="6"/>
  <c r="CQ80" i="6"/>
  <c r="CQ76" i="6"/>
  <c r="CQ72" i="6"/>
  <c r="CQ68" i="6"/>
  <c r="CQ64" i="6"/>
  <c r="CQ60" i="6"/>
  <c r="CQ56" i="6"/>
  <c r="CQ52" i="6"/>
  <c r="CQ48" i="6"/>
  <c r="CQ44" i="6"/>
  <c r="CQ40" i="6"/>
  <c r="AP47" i="6"/>
  <c r="AP81" i="6"/>
  <c r="AP109" i="6"/>
  <c r="DE100" i="6"/>
  <c r="DE84" i="6"/>
  <c r="DE68" i="6"/>
  <c r="DE52" i="6"/>
  <c r="DC111" i="6"/>
  <c r="DC107" i="6"/>
  <c r="DC99" i="6"/>
  <c r="DC95" i="6"/>
  <c r="DC91" i="6"/>
  <c r="DC83" i="6"/>
  <c r="DC75" i="6"/>
  <c r="DC71" i="6"/>
  <c r="DC67" i="6"/>
  <c r="DC63" i="6"/>
  <c r="DC59" i="6"/>
  <c r="DC55" i="6"/>
  <c r="DC51" i="6"/>
  <c r="DC47" i="6"/>
  <c r="DC43" i="6"/>
  <c r="CU113" i="6"/>
  <c r="CU109" i="6"/>
  <c r="CU105" i="6"/>
  <c r="CU101" i="6"/>
  <c r="CU97" i="6"/>
  <c r="CU93" i="6"/>
  <c r="CU89" i="6"/>
  <c r="CU85" i="6"/>
  <c r="CU81" i="6"/>
  <c r="CU77" i="6"/>
  <c r="CU73" i="6"/>
  <c r="CU69" i="6"/>
  <c r="CU65" i="6"/>
  <c r="CU61" i="6"/>
  <c r="CU57" i="6"/>
  <c r="CU53" i="6"/>
  <c r="CU49" i="6"/>
  <c r="CU45" i="6"/>
  <c r="CU41" i="6"/>
  <c r="CU37" i="6"/>
  <c r="DG112" i="6"/>
  <c r="DG108" i="6"/>
  <c r="DG104" i="6"/>
  <c r="DG100" i="6"/>
  <c r="DG96" i="6"/>
  <c r="DG92" i="6"/>
  <c r="DG88" i="6"/>
  <c r="DG84" i="6"/>
  <c r="DG80" i="6"/>
  <c r="DG76" i="6"/>
  <c r="DG72" i="6"/>
  <c r="DG68" i="6"/>
  <c r="DG64" i="6"/>
  <c r="DG60" i="6"/>
  <c r="DG56" i="6"/>
  <c r="DG52" i="6"/>
  <c r="DG48" i="6"/>
  <c r="DG44" i="6"/>
  <c r="DG40" i="6"/>
  <c r="AP50" i="6"/>
  <c r="AP89" i="6"/>
  <c r="DE104" i="6"/>
  <c r="DE99" i="6"/>
  <c r="DE88" i="6"/>
  <c r="DE83" i="6"/>
  <c r="DE72" i="6"/>
  <c r="DE67" i="6"/>
  <c r="DE56" i="6"/>
  <c r="DE51" i="6"/>
  <c r="DE40" i="6"/>
  <c r="CY111" i="6"/>
  <c r="CY107" i="6"/>
  <c r="CY99" i="6"/>
  <c r="CY91" i="6"/>
  <c r="CY83" i="6"/>
  <c r="CY75" i="6"/>
  <c r="CY71" i="6"/>
  <c r="CY67" i="6"/>
  <c r="CY59" i="6"/>
  <c r="CY55" i="6"/>
  <c r="CY51" i="6"/>
  <c r="CY47" i="6"/>
  <c r="CY43" i="6"/>
  <c r="CW113" i="6"/>
  <c r="CW105" i="6"/>
  <c r="CW101" i="6"/>
  <c r="CW97" i="6"/>
  <c r="CW93" i="6"/>
  <c r="CW89" i="6"/>
  <c r="CW85" i="6"/>
  <c r="CW77" i="6"/>
  <c r="CW73" i="6"/>
  <c r="CW69" i="6"/>
  <c r="CW65" i="6"/>
  <c r="CW61" i="6"/>
  <c r="CW57" i="6"/>
  <c r="CW49" i="6"/>
  <c r="CW45" i="6"/>
  <c r="CW41" i="6"/>
  <c r="CW37" i="6"/>
  <c r="AP63" i="6"/>
  <c r="AP105" i="6"/>
  <c r="AP111" i="6"/>
  <c r="AP107" i="6"/>
  <c r="AP103" i="6"/>
  <c r="AP99" i="6"/>
  <c r="AP87" i="6"/>
  <c r="AP83" i="6"/>
  <c r="AP79" i="6"/>
  <c r="AP75" i="6"/>
  <c r="AP71" i="6"/>
  <c r="AP67" i="6"/>
  <c r="AP59" i="6"/>
  <c r="AP55" i="6"/>
  <c r="I19" i="4" l="1"/>
  <c r="J19" i="4" s="1"/>
  <c r="H19" i="4"/>
  <c r="CL21" i="30"/>
  <c r="AM21" i="30"/>
  <c r="B70" i="6"/>
  <c r="C70" i="6"/>
  <c r="G70" i="6"/>
  <c r="AN42" i="1"/>
  <c r="AB99" i="1"/>
  <c r="AA99" i="1" s="1"/>
  <c r="AB137" i="1"/>
  <c r="AA137" i="1" s="1"/>
  <c r="AC137" i="1"/>
  <c r="AB138" i="1"/>
  <c r="AA138" i="1" s="1"/>
  <c r="AB39" i="1"/>
  <c r="AA39" i="1" s="1"/>
  <c r="AB21" i="1"/>
  <c r="AA21" i="1" s="1"/>
  <c r="AB20" i="1"/>
  <c r="AA20" i="1" s="1"/>
  <c r="AB143" i="1"/>
  <c r="AA143" i="1" s="1"/>
  <c r="AB57" i="1"/>
  <c r="AA57" i="1" s="1"/>
  <c r="CK21" i="30" l="1"/>
  <c r="DH21" i="30" s="1"/>
  <c r="CF21" i="30"/>
  <c r="DF21" i="30" s="1"/>
  <c r="CA21" i="30"/>
  <c r="DD21" i="30" s="1"/>
  <c r="BV21" i="30"/>
  <c r="DB21" i="30" s="1"/>
  <c r="BQ21" i="30"/>
  <c r="CZ21" i="30" s="1"/>
  <c r="BL21" i="30"/>
  <c r="CX21" i="30" s="1"/>
  <c r="BG21" i="30"/>
  <c r="CV21" i="30" s="1"/>
  <c r="BB21" i="30"/>
  <c r="CT21" i="30" s="1"/>
  <c r="AW21" i="30"/>
  <c r="CR21" i="30" s="1"/>
  <c r="AR21" i="30"/>
  <c r="CP21" i="30" s="1"/>
  <c r="AK21" i="30"/>
  <c r="CN21" i="30" s="1"/>
  <c r="AC99" i="1"/>
  <c r="AC138" i="1"/>
  <c r="AC39" i="1"/>
  <c r="AC21" i="1"/>
  <c r="AC20" i="1"/>
  <c r="AC143" i="1"/>
  <c r="AC57" i="1"/>
  <c r="G11" i="6"/>
  <c r="G12" i="6"/>
  <c r="G13" i="6"/>
  <c r="G14" i="6"/>
  <c r="G15" i="6"/>
  <c r="G16" i="6"/>
  <c r="Y101" i="1"/>
  <c r="AB101" i="1" s="1"/>
  <c r="AA101" i="1" s="1"/>
  <c r="AP61" i="1"/>
  <c r="AQ61" i="1" s="1"/>
  <c r="AP60" i="1"/>
  <c r="AQ60" i="1" s="1"/>
  <c r="AP59" i="1"/>
  <c r="AQ59" i="1" s="1"/>
  <c r="AP58" i="1"/>
  <c r="AQ58" i="1" s="1"/>
  <c r="AP57" i="1"/>
  <c r="AQ57" i="1" s="1"/>
  <c r="AP56" i="1"/>
  <c r="AQ56" i="1" s="1"/>
  <c r="AP55" i="1"/>
  <c r="AQ55" i="1" s="1"/>
  <c r="AP54" i="1"/>
  <c r="AQ54" i="1" s="1"/>
  <c r="AO11" i="1"/>
  <c r="AN58" i="1"/>
  <c r="AN57" i="1"/>
  <c r="AN56" i="1"/>
  <c r="AN55" i="1"/>
  <c r="AN54" i="1"/>
  <c r="AN48" i="1"/>
  <c r="AN47" i="1"/>
  <c r="AN46" i="1"/>
  <c r="AN45" i="1"/>
  <c r="AN41" i="1"/>
  <c r="AN40" i="1"/>
  <c r="AN39" i="1"/>
  <c r="AN38" i="1"/>
  <c r="AN37" i="1"/>
  <c r="AN36" i="1"/>
  <c r="AN35" i="1"/>
  <c r="AP42" i="1"/>
  <c r="AQ42" i="1" s="1"/>
  <c r="AP44" i="1"/>
  <c r="AQ44" i="1" s="1"/>
  <c r="AP43" i="1"/>
  <c r="AQ43" i="1" s="1"/>
  <c r="AR44" i="1"/>
  <c r="AP41" i="1"/>
  <c r="AQ41" i="1" s="1"/>
  <c r="AP40" i="1"/>
  <c r="AQ40" i="1" s="1"/>
  <c r="AP39" i="1"/>
  <c r="AQ39" i="1" s="1"/>
  <c r="AN30" i="1"/>
  <c r="AN29" i="1"/>
  <c r="AN28" i="1"/>
  <c r="AN27" i="1"/>
  <c r="AN26" i="1"/>
  <c r="AP30" i="1"/>
  <c r="AQ30" i="1" s="1"/>
  <c r="AP29" i="1"/>
  <c r="AQ29" i="1" s="1"/>
  <c r="AP28" i="1"/>
  <c r="AQ28" i="1" s="1"/>
  <c r="AP31" i="1"/>
  <c r="AQ31" i="1" s="1"/>
  <c r="AN25" i="1"/>
  <c r="AP22" i="1"/>
  <c r="AQ22" i="1" s="1"/>
  <c r="AP21" i="1"/>
  <c r="AQ21" i="1" s="1"/>
  <c r="AN21" i="1"/>
  <c r="AN20" i="1"/>
  <c r="AN19" i="1"/>
  <c r="AP16" i="1"/>
  <c r="AQ11" i="1"/>
  <c r="AQ12" i="1"/>
  <c r="AQ15" i="1"/>
  <c r="AQ16" i="1"/>
  <c r="AQ17" i="1"/>
  <c r="AQ18" i="1"/>
  <c r="AQ19" i="1"/>
  <c r="AQ20" i="1"/>
  <c r="AQ23" i="1"/>
  <c r="AQ24" i="1"/>
  <c r="AQ25" i="1"/>
  <c r="AQ26" i="1"/>
  <c r="AQ27" i="1"/>
  <c r="AQ32" i="1"/>
  <c r="AQ33" i="1"/>
  <c r="AQ34" i="1"/>
  <c r="AQ35" i="1"/>
  <c r="AQ36" i="1"/>
  <c r="AQ37" i="1"/>
  <c r="AQ38" i="1"/>
  <c r="AQ45" i="1"/>
  <c r="AQ46" i="1"/>
  <c r="AQ47" i="1"/>
  <c r="AQ48" i="1"/>
  <c r="AQ49" i="1"/>
  <c r="AQ50" i="1"/>
  <c r="AQ51" i="1"/>
  <c r="AQ52" i="1"/>
  <c r="AQ53" i="1"/>
  <c r="AP14" i="1"/>
  <c r="AQ14" i="1" s="1"/>
  <c r="AP13" i="1"/>
  <c r="AQ13" i="1" s="1"/>
  <c r="AN16" i="1"/>
  <c r="AN14" i="1"/>
  <c r="AN13" i="1"/>
  <c r="H12" i="13"/>
  <c r="H13" i="13" s="1"/>
  <c r="H14" i="13" s="1"/>
  <c r="H15" i="13" s="1"/>
  <c r="H16" i="13" s="1"/>
  <c r="H17" i="13" s="1"/>
  <c r="H18" i="13" s="1"/>
  <c r="H19" i="13" s="1"/>
  <c r="H20" i="13" s="1"/>
  <c r="H21" i="13" s="1"/>
  <c r="H22" i="13" s="1"/>
  <c r="H23" i="13" s="1"/>
  <c r="H24" i="13" s="1"/>
  <c r="H25" i="13" s="1"/>
  <c r="H26" i="13" s="1"/>
  <c r="H27" i="13" s="1"/>
  <c r="H28" i="13" s="1"/>
  <c r="H29" i="13" s="1"/>
  <c r="H30" i="13" s="1"/>
  <c r="H31" i="13" s="1"/>
  <c r="H32" i="13" s="1"/>
  <c r="H33" i="13" s="1"/>
  <c r="H34" i="13" s="1"/>
  <c r="H35" i="13" s="1"/>
  <c r="H36" i="13" s="1"/>
  <c r="H37" i="13" s="1"/>
  <c r="H38" i="13" s="1"/>
  <c r="H39" i="13" s="1"/>
  <c r="H40" i="13" s="1"/>
  <c r="H41" i="13" s="1"/>
  <c r="J11" i="13"/>
  <c r="I12" i="13" s="1"/>
  <c r="B12" i="13"/>
  <c r="D11" i="13"/>
  <c r="C11" i="13"/>
  <c r="E11" i="13" s="1"/>
  <c r="AL36" i="6"/>
  <c r="AL35" i="6"/>
  <c r="AL34" i="6"/>
  <c r="AL33" i="6"/>
  <c r="AL32" i="6"/>
  <c r="AL31" i="6"/>
  <c r="AL30" i="6"/>
  <c r="AL29" i="6"/>
  <c r="AL28" i="6"/>
  <c r="AL27" i="6"/>
  <c r="AL26" i="6"/>
  <c r="AL25" i="6"/>
  <c r="AL24" i="6"/>
  <c r="AL23" i="6"/>
  <c r="AL22" i="6"/>
  <c r="AB19" i="1"/>
  <c r="AA19" i="1" s="1"/>
  <c r="B54" i="6"/>
  <c r="B55" i="6"/>
  <c r="B56" i="6"/>
  <c r="B57" i="6"/>
  <c r="B58" i="6"/>
  <c r="B59" i="6"/>
  <c r="B60" i="6"/>
  <c r="B61" i="6"/>
  <c r="B62" i="6"/>
  <c r="B63" i="6"/>
  <c r="B64" i="6"/>
  <c r="B65" i="6"/>
  <c r="B66" i="6"/>
  <c r="B67" i="6"/>
  <c r="B68" i="6"/>
  <c r="B69" i="6"/>
  <c r="C54" i="6"/>
  <c r="C55" i="6"/>
  <c r="C56" i="6"/>
  <c r="C57" i="6"/>
  <c r="C58" i="6"/>
  <c r="C59" i="6"/>
  <c r="C60" i="6"/>
  <c r="C61" i="6"/>
  <c r="C62" i="6"/>
  <c r="C63" i="6"/>
  <c r="C64" i="6"/>
  <c r="C65" i="6"/>
  <c r="C66" i="6"/>
  <c r="C67" i="6"/>
  <c r="C68" i="6"/>
  <c r="C69" i="6"/>
  <c r="G54" i="6"/>
  <c r="G55" i="6"/>
  <c r="G56" i="6"/>
  <c r="G57" i="6"/>
  <c r="G58" i="6"/>
  <c r="G59" i="6"/>
  <c r="G60" i="6"/>
  <c r="G61" i="6"/>
  <c r="G62" i="6"/>
  <c r="G63" i="6"/>
  <c r="G64" i="6"/>
  <c r="G65" i="6"/>
  <c r="G66" i="6"/>
  <c r="G67" i="6"/>
  <c r="G68" i="6"/>
  <c r="G69" i="6"/>
  <c r="CG21" i="6"/>
  <c r="DG21" i="6" s="1"/>
  <c r="CG22" i="6"/>
  <c r="DG22" i="6" s="1"/>
  <c r="CG23" i="6"/>
  <c r="DG23" i="6" s="1"/>
  <c r="CG24" i="6"/>
  <c r="DG24" i="6" s="1"/>
  <c r="CG25" i="6"/>
  <c r="DG25" i="6" s="1"/>
  <c r="CG26" i="6"/>
  <c r="CG27" i="6"/>
  <c r="DG27" i="6" s="1"/>
  <c r="CG28" i="6"/>
  <c r="DG28" i="6" s="1"/>
  <c r="CG29" i="6"/>
  <c r="DG29" i="6" s="1"/>
  <c r="CG30" i="6"/>
  <c r="CG31" i="6"/>
  <c r="CG32" i="6"/>
  <c r="CG33" i="6"/>
  <c r="CG34" i="6"/>
  <c r="CG35" i="6"/>
  <c r="CG36" i="6"/>
  <c r="CB21" i="6"/>
  <c r="CB22" i="6"/>
  <c r="DE22" i="6" s="1"/>
  <c r="CB23" i="6"/>
  <c r="CB24" i="6"/>
  <c r="DE24" i="6" s="1"/>
  <c r="CB25" i="6"/>
  <c r="DE25" i="6" s="1"/>
  <c r="CB26" i="6"/>
  <c r="CB27" i="6"/>
  <c r="CB28" i="6"/>
  <c r="DE28" i="6" s="1"/>
  <c r="CB29" i="6"/>
  <c r="CB30" i="6"/>
  <c r="CB31" i="6"/>
  <c r="DE31" i="6" s="1"/>
  <c r="CB32" i="6"/>
  <c r="CB33" i="6"/>
  <c r="DE33" i="6" s="1"/>
  <c r="CB34" i="6"/>
  <c r="CB35" i="6"/>
  <c r="CB36" i="6"/>
  <c r="BW21" i="6"/>
  <c r="DC21" i="6" s="1"/>
  <c r="BW22" i="6"/>
  <c r="DC22" i="6" s="1"/>
  <c r="BW23" i="6"/>
  <c r="DC23" i="6" s="1"/>
  <c r="BW24" i="6"/>
  <c r="DC24" i="6" s="1"/>
  <c r="BW25" i="6"/>
  <c r="DC25" i="6" s="1"/>
  <c r="BW26" i="6"/>
  <c r="BW27" i="6"/>
  <c r="DC27" i="6" s="1"/>
  <c r="BW28" i="6"/>
  <c r="DC28" i="6" s="1"/>
  <c r="BW29" i="6"/>
  <c r="DC29" i="6" s="1"/>
  <c r="BW30" i="6"/>
  <c r="BW31" i="6"/>
  <c r="BW32" i="6"/>
  <c r="BW33" i="6"/>
  <c r="BW34" i="6"/>
  <c r="BW35" i="6"/>
  <c r="BW36" i="6"/>
  <c r="BR21" i="6"/>
  <c r="BR22" i="6"/>
  <c r="DA22" i="6" s="1"/>
  <c r="BR23" i="6"/>
  <c r="BR24" i="6"/>
  <c r="DA24" i="6" s="1"/>
  <c r="BR25" i="6"/>
  <c r="DA25" i="6" s="1"/>
  <c r="BR26" i="6"/>
  <c r="DA26" i="6" s="1"/>
  <c r="BR27" i="6"/>
  <c r="DA27" i="6" s="1"/>
  <c r="BR28" i="6"/>
  <c r="DA28" i="6" s="1"/>
  <c r="BR29" i="6"/>
  <c r="DA29" i="6" s="1"/>
  <c r="BR30" i="6"/>
  <c r="BR31" i="6"/>
  <c r="DA31" i="6" s="1"/>
  <c r="BR32" i="6"/>
  <c r="BR33" i="6"/>
  <c r="BR34" i="6"/>
  <c r="BR35" i="6"/>
  <c r="DA35" i="6" s="1"/>
  <c r="BR36" i="6"/>
  <c r="BM21" i="6"/>
  <c r="CY21" i="6" s="1"/>
  <c r="BM22" i="6"/>
  <c r="CY22" i="6" s="1"/>
  <c r="BM23" i="6"/>
  <c r="CY23" i="6" s="1"/>
  <c r="BM24" i="6"/>
  <c r="CY24" i="6" s="1"/>
  <c r="BM25" i="6"/>
  <c r="CY25" i="6" s="1"/>
  <c r="BM26" i="6"/>
  <c r="CY26" i="6" s="1"/>
  <c r="BM27" i="6"/>
  <c r="CY27" i="6" s="1"/>
  <c r="BM28" i="6"/>
  <c r="CY28" i="6" s="1"/>
  <c r="BM29" i="6"/>
  <c r="CY29" i="6" s="1"/>
  <c r="BM30" i="6"/>
  <c r="CY30" i="6" s="1"/>
  <c r="BM31" i="6"/>
  <c r="BM32" i="6"/>
  <c r="BM33" i="6"/>
  <c r="BM34" i="6"/>
  <c r="BM35" i="6"/>
  <c r="BM36" i="6"/>
  <c r="BH21" i="6"/>
  <c r="BH22" i="6"/>
  <c r="CW22" i="6" s="1"/>
  <c r="BH23" i="6"/>
  <c r="CW23" i="6" s="1"/>
  <c r="BH24" i="6"/>
  <c r="CW24" i="6" s="1"/>
  <c r="BH25" i="6"/>
  <c r="BH26" i="6"/>
  <c r="BH27" i="6"/>
  <c r="BH28" i="6"/>
  <c r="CW28" i="6" s="1"/>
  <c r="BH29" i="6"/>
  <c r="CW29" i="6" s="1"/>
  <c r="BH30" i="6"/>
  <c r="CW30" i="6" s="1"/>
  <c r="BH31" i="6"/>
  <c r="CW31" i="6" s="1"/>
  <c r="BH32" i="6"/>
  <c r="BH33" i="6"/>
  <c r="BH34" i="6"/>
  <c r="BH35" i="6"/>
  <c r="CW35" i="6" s="1"/>
  <c r="BH36" i="6"/>
  <c r="X152" i="1"/>
  <c r="AB152" i="1" s="1"/>
  <c r="AA152" i="1" s="1"/>
  <c r="X85" i="1"/>
  <c r="AB85" i="1" s="1"/>
  <c r="AA85" i="1" s="1"/>
  <c r="X97" i="1"/>
  <c r="AB97" i="1" s="1"/>
  <c r="AC97" i="1" s="1"/>
  <c r="E97" i="1"/>
  <c r="AP95" i="6" s="1"/>
  <c r="E50" i="1"/>
  <c r="AP94" i="6" s="1"/>
  <c r="E49" i="1"/>
  <c r="E15" i="1"/>
  <c r="E125" i="1"/>
  <c r="E36" i="1"/>
  <c r="AB29" i="1"/>
  <c r="AA29" i="1" s="1"/>
  <c r="AC103" i="1"/>
  <c r="AC102" i="1"/>
  <c r="AC37" i="1"/>
  <c r="AC135" i="1"/>
  <c r="AC92" i="1"/>
  <c r="AC101" i="1"/>
  <c r="AC105" i="1"/>
  <c r="AC81" i="1"/>
  <c r="AC126" i="1"/>
  <c r="AC42" i="1"/>
  <c r="AC118" i="1"/>
  <c r="AC117" i="1"/>
  <c r="AC148" i="1"/>
  <c r="AC149" i="1"/>
  <c r="AC147" i="1"/>
  <c r="AC69" i="1"/>
  <c r="AC132" i="1"/>
  <c r="AC133" i="1"/>
  <c r="AC131" i="1"/>
  <c r="AC44" i="1"/>
  <c r="AC45" i="1"/>
  <c r="AC46" i="1"/>
  <c r="AC35" i="1"/>
  <c r="AC67" i="1"/>
  <c r="AC68" i="1"/>
  <c r="AC66" i="1"/>
  <c r="AC91" i="1"/>
  <c r="AC30" i="1"/>
  <c r="AC90" i="1"/>
  <c r="AC116" i="1"/>
  <c r="AC18" i="1"/>
  <c r="AC94" i="1"/>
  <c r="AC95" i="1"/>
  <c r="AC121" i="1"/>
  <c r="AC71" i="1"/>
  <c r="AC72" i="1"/>
  <c r="AC73" i="1"/>
  <c r="AC58" i="1"/>
  <c r="AC13" i="1"/>
  <c r="AC85" i="1"/>
  <c r="AC152" i="1"/>
  <c r="AC130" i="1"/>
  <c r="AB70" i="1"/>
  <c r="AA70" i="1" s="1"/>
  <c r="AB56" i="1"/>
  <c r="AA56" i="1" s="1"/>
  <c r="AB142" i="1"/>
  <c r="AA142" i="1" s="1"/>
  <c r="AB55" i="1"/>
  <c r="AA55" i="1" s="1"/>
  <c r="AB141" i="1"/>
  <c r="AA141" i="1" s="1"/>
  <c r="AB54" i="1"/>
  <c r="AA54" i="1" s="1"/>
  <c r="AB140" i="1"/>
  <c r="AA140" i="1" s="1"/>
  <c r="AB78" i="1"/>
  <c r="AA78" i="1" s="1"/>
  <c r="X88" i="1"/>
  <c r="AB88" i="1" s="1"/>
  <c r="AA88" i="1" s="1"/>
  <c r="AB139" i="1"/>
  <c r="AA139" i="1" s="1"/>
  <c r="X53" i="1"/>
  <c r="AB53" i="1" s="1"/>
  <c r="AA53" i="1" s="1"/>
  <c r="AB136" i="1"/>
  <c r="AA136" i="1" s="1"/>
  <c r="AB130" i="1"/>
  <c r="AA130" i="1" s="1"/>
  <c r="AB38" i="1"/>
  <c r="AA38" i="1" s="1"/>
  <c r="AB65" i="1"/>
  <c r="AA65" i="1" s="1"/>
  <c r="AB104" i="1"/>
  <c r="AA104" i="1" s="1"/>
  <c r="AB28" i="1"/>
  <c r="AC28" i="1" s="1"/>
  <c r="AB27" i="1"/>
  <c r="AA27" i="1" s="1"/>
  <c r="AB108" i="1"/>
  <c r="AA108" i="1" s="1"/>
  <c r="AB96" i="1"/>
  <c r="AA96" i="1" s="1"/>
  <c r="AB22" i="1"/>
  <c r="AA22" i="1" s="1"/>
  <c r="AB100" i="1"/>
  <c r="AC100" i="1" s="1"/>
  <c r="AB151" i="1"/>
  <c r="AA151" i="1" s="1"/>
  <c r="AB40" i="1"/>
  <c r="AC40" i="1" s="1"/>
  <c r="AB50" i="1"/>
  <c r="AC50" i="1" s="1"/>
  <c r="AB49" i="1"/>
  <c r="AA49" i="1" s="1"/>
  <c r="AB15" i="1"/>
  <c r="AA15" i="1" s="1"/>
  <c r="AB125" i="1"/>
  <c r="AA125" i="1" s="1"/>
  <c r="AB36" i="1"/>
  <c r="AA36" i="1" s="1"/>
  <c r="AB51" i="1"/>
  <c r="AC51" i="1" s="1"/>
  <c r="AB31" i="1"/>
  <c r="AA31" i="1" s="1"/>
  <c r="AB13" i="1"/>
  <c r="AA13" i="1" s="1"/>
  <c r="AB59" i="1"/>
  <c r="AA59" i="1" s="1"/>
  <c r="AB58" i="1"/>
  <c r="AA58" i="1" s="1"/>
  <c r="AB98" i="1"/>
  <c r="AC98" i="1" s="1"/>
  <c r="AB73" i="1"/>
  <c r="AA73" i="1" s="1"/>
  <c r="AB72" i="1"/>
  <c r="AA72" i="1" s="1"/>
  <c r="AB71" i="1"/>
  <c r="AA71" i="1" s="1"/>
  <c r="AB122" i="1"/>
  <c r="AC122" i="1" s="1"/>
  <c r="AB121" i="1"/>
  <c r="AA121" i="1" s="1"/>
  <c r="AB95" i="1"/>
  <c r="AA95" i="1" s="1"/>
  <c r="AB94" i="1"/>
  <c r="AA94" i="1" s="1"/>
  <c r="AB149" i="1"/>
  <c r="AA149" i="1" s="1"/>
  <c r="AB133" i="1"/>
  <c r="AA133" i="1" s="1"/>
  <c r="AB118" i="1"/>
  <c r="AA118" i="1" s="1"/>
  <c r="AB107" i="1"/>
  <c r="AA107" i="1" s="1"/>
  <c r="AB83" i="1"/>
  <c r="AA83" i="1" s="1"/>
  <c r="AB68" i="1"/>
  <c r="AA68" i="1" s="1"/>
  <c r="AB45" i="1"/>
  <c r="AA45" i="1" s="1"/>
  <c r="AB18" i="1"/>
  <c r="AA18" i="1" s="1"/>
  <c r="AB116" i="1"/>
  <c r="AA116" i="1" s="1"/>
  <c r="AB128" i="1"/>
  <c r="AA128" i="1" s="1"/>
  <c r="AB146" i="1"/>
  <c r="AA146" i="1" s="1"/>
  <c r="AB90" i="1"/>
  <c r="AA90" i="1" s="1"/>
  <c r="AB48" i="1"/>
  <c r="AA48" i="1" s="1"/>
  <c r="AB47" i="1"/>
  <c r="AA47" i="1" s="1"/>
  <c r="AB60" i="1"/>
  <c r="AA60" i="1" s="1"/>
  <c r="AB110" i="1"/>
  <c r="AA110" i="1" s="1"/>
  <c r="AB30" i="1"/>
  <c r="AA30" i="1" s="1"/>
  <c r="AB77" i="1"/>
  <c r="AC77" i="1" s="1"/>
  <c r="AB75" i="1"/>
  <c r="AA75" i="1" s="1"/>
  <c r="AB91" i="1"/>
  <c r="AA91" i="1" s="1"/>
  <c r="AB84" i="1"/>
  <c r="AC84" i="1" s="1"/>
  <c r="AB89" i="1"/>
  <c r="AA89" i="1" s="1"/>
  <c r="AB66" i="1"/>
  <c r="AA66" i="1" s="1"/>
  <c r="AB67" i="1"/>
  <c r="AA67" i="1" s="1"/>
  <c r="AB35" i="1"/>
  <c r="AA35" i="1" s="1"/>
  <c r="AB127" i="1"/>
  <c r="AA127" i="1" s="1"/>
  <c r="AB46" i="1"/>
  <c r="AA46" i="1" s="1"/>
  <c r="AB44" i="1"/>
  <c r="AA44" i="1" s="1"/>
  <c r="AB86" i="1"/>
  <c r="AC86" i="1" s="1"/>
  <c r="AB87" i="1"/>
  <c r="AA87" i="1" s="1"/>
  <c r="AB25" i="1"/>
  <c r="AA25" i="1" s="1"/>
  <c r="AB34" i="1"/>
  <c r="AA34" i="1" s="1"/>
  <c r="AB32" i="1"/>
  <c r="AC32" i="1" s="1"/>
  <c r="AB112" i="1"/>
  <c r="AC112" i="1" s="1"/>
  <c r="AB33" i="1"/>
  <c r="AA33" i="1" s="1"/>
  <c r="AB131" i="1"/>
  <c r="AA131" i="1" s="1"/>
  <c r="AB132" i="1"/>
  <c r="AA132" i="1" s="1"/>
  <c r="AB109" i="1"/>
  <c r="AC109" i="1" s="1"/>
  <c r="AB69" i="1"/>
  <c r="AA69" i="1" s="1"/>
  <c r="AB16" i="1"/>
  <c r="AA16" i="1" s="1"/>
  <c r="AB150" i="1"/>
  <c r="AA150" i="1" s="1"/>
  <c r="AB147" i="1"/>
  <c r="AA147" i="1" s="1"/>
  <c r="AB148" i="1"/>
  <c r="AA148" i="1" s="1"/>
  <c r="AB145" i="1"/>
  <c r="AA145" i="1" s="1"/>
  <c r="AB117" i="1"/>
  <c r="AA117" i="1" s="1"/>
  <c r="AB17" i="1"/>
  <c r="AA17" i="1" s="1"/>
  <c r="AB41" i="1"/>
  <c r="AA41" i="1" s="1"/>
  <c r="AB43" i="1"/>
  <c r="AA43" i="1" s="1"/>
  <c r="AB42" i="1"/>
  <c r="AA42" i="1" s="1"/>
  <c r="AB126" i="1"/>
  <c r="AA126" i="1" s="1"/>
  <c r="AB111" i="1"/>
  <c r="AA111" i="1" s="1"/>
  <c r="AB14" i="1"/>
  <c r="AA14" i="1" s="1"/>
  <c r="AB23" i="1"/>
  <c r="AC23" i="1" s="1"/>
  <c r="AB80" i="1"/>
  <c r="AA80" i="1" s="1"/>
  <c r="AB81" i="1"/>
  <c r="AA81" i="1" s="1"/>
  <c r="AB82" i="1"/>
  <c r="AA82" i="1" s="1"/>
  <c r="AB105" i="1"/>
  <c r="AA105" i="1" s="1"/>
  <c r="AB106" i="1"/>
  <c r="AA106" i="1" s="1"/>
  <c r="AB92" i="1"/>
  <c r="AA92" i="1" s="1"/>
  <c r="AB135" i="1"/>
  <c r="AA135" i="1" s="1"/>
  <c r="AB37" i="1"/>
  <c r="AA37" i="1" s="1"/>
  <c r="AB102" i="1"/>
  <c r="AA102" i="1" s="1"/>
  <c r="AB103" i="1"/>
  <c r="AA103" i="1" s="1"/>
  <c r="Y93" i="1"/>
  <c r="AB93" i="1" s="1"/>
  <c r="AA93" i="1" s="1"/>
  <c r="Y144" i="1"/>
  <c r="AB144" i="1" s="1"/>
  <c r="AA144" i="1" s="1"/>
  <c r="B11" i="10"/>
  <c r="B12" i="10" s="1"/>
  <c r="B14" i="10" s="1"/>
  <c r="B16" i="10" s="1"/>
  <c r="B17" i="10" s="1"/>
  <c r="C11" i="10"/>
  <c r="C12" i="10" s="1"/>
  <c r="A12" i="10"/>
  <c r="B13" i="10"/>
  <c r="C13" i="10" s="1"/>
  <c r="A14" i="10"/>
  <c r="A16" i="10" s="1"/>
  <c r="A17" i="10" s="1"/>
  <c r="B15" i="10"/>
  <c r="C15" i="10" s="1"/>
  <c r="E51" i="1"/>
  <c r="AP88" i="6" s="1"/>
  <c r="Y79" i="1"/>
  <c r="AB79" i="1" s="1"/>
  <c r="AC79" i="1" s="1"/>
  <c r="AL21" i="6"/>
  <c r="AO58" i="1"/>
  <c r="AO57" i="1"/>
  <c r="AO56" i="1"/>
  <c r="AO55" i="1"/>
  <c r="AO54" i="1"/>
  <c r="AO48" i="1"/>
  <c r="AO47" i="1"/>
  <c r="AO46" i="1"/>
  <c r="AO45" i="1"/>
  <c r="AR61" i="1"/>
  <c r="AR60" i="1"/>
  <c r="AR59" i="1"/>
  <c r="AR58" i="1"/>
  <c r="AR57" i="1"/>
  <c r="AR56" i="1"/>
  <c r="AR55" i="1"/>
  <c r="AR54" i="1"/>
  <c r="AR53" i="1"/>
  <c r="AR52" i="1"/>
  <c r="AR51" i="1"/>
  <c r="AR50" i="1"/>
  <c r="AR49" i="1"/>
  <c r="AR48" i="1"/>
  <c r="AR47" i="1"/>
  <c r="AR46" i="1"/>
  <c r="AO30" i="1"/>
  <c r="AO29" i="1"/>
  <c r="AO28" i="1"/>
  <c r="AO27" i="1"/>
  <c r="AO26" i="1"/>
  <c r="AO37" i="1"/>
  <c r="AO38" i="1"/>
  <c r="AO36" i="1"/>
  <c r="AO35" i="1"/>
  <c r="AO40" i="1"/>
  <c r="AO39" i="1"/>
  <c r="AO41" i="1"/>
  <c r="AO42" i="1"/>
  <c r="AO20" i="1"/>
  <c r="AO21" i="1"/>
  <c r="AO14" i="1"/>
  <c r="B51" i="6"/>
  <c r="B52" i="6"/>
  <c r="B53" i="6"/>
  <c r="C51" i="6"/>
  <c r="C52" i="6"/>
  <c r="C53" i="6"/>
  <c r="G51" i="6"/>
  <c r="G52" i="6"/>
  <c r="G53" i="6"/>
  <c r="AO16" i="1"/>
  <c r="AR15" i="1"/>
  <c r="AR16" i="1"/>
  <c r="AR17" i="1"/>
  <c r="X12" i="1"/>
  <c r="AB12" i="1" s="1"/>
  <c r="AA12" i="1" s="1"/>
  <c r="X11" i="1"/>
  <c r="AB11" i="1" s="1"/>
  <c r="AA11" i="1" s="1"/>
  <c r="X63" i="1"/>
  <c r="AB63" i="1" s="1"/>
  <c r="AA63" i="1" s="1"/>
  <c r="X64" i="1"/>
  <c r="AB64" i="1" s="1"/>
  <c r="AA64" i="1" s="1"/>
  <c r="X119" i="1"/>
  <c r="AB119" i="1" s="1"/>
  <c r="AA119" i="1" s="1"/>
  <c r="X120" i="1"/>
  <c r="AB120" i="1" s="1"/>
  <c r="AA120" i="1" s="1"/>
  <c r="X123" i="1"/>
  <c r="AB123" i="1" s="1"/>
  <c r="AA123" i="1" s="1"/>
  <c r="X124" i="1"/>
  <c r="AB124" i="1" s="1"/>
  <c r="AA124" i="1" s="1"/>
  <c r="AB62" i="1"/>
  <c r="AA62" i="1" s="1"/>
  <c r="AB61" i="1"/>
  <c r="AA61" i="1" s="1"/>
  <c r="AB26" i="1"/>
  <c r="AA26" i="1" s="1"/>
  <c r="AB114" i="1"/>
  <c r="AA114" i="1" s="1"/>
  <c r="AB113" i="1"/>
  <c r="AA113" i="1" s="1"/>
  <c r="AB74" i="1"/>
  <c r="AA74" i="1" s="1"/>
  <c r="AB134" i="1"/>
  <c r="AA134" i="1" s="1"/>
  <c r="AB76" i="1"/>
  <c r="AA76" i="1" s="1"/>
  <c r="AB24" i="1"/>
  <c r="AA24" i="1" s="1"/>
  <c r="X129" i="1"/>
  <c r="AB129" i="1" s="1"/>
  <c r="AA129" i="1" s="1"/>
  <c r="X115" i="1"/>
  <c r="AB115" i="1" s="1"/>
  <c r="AA115" i="1" s="1"/>
  <c r="X52" i="1"/>
  <c r="AB52" i="1" s="1"/>
  <c r="AA52" i="1" s="1"/>
  <c r="AO25" i="1"/>
  <c r="AO19" i="1"/>
  <c r="AO13" i="1"/>
  <c r="AD36" i="6"/>
  <c r="AJ36" i="6"/>
  <c r="AN36" i="6"/>
  <c r="AP36" i="6" s="1"/>
  <c r="AS36" i="6"/>
  <c r="AX36" i="6"/>
  <c r="BC36" i="6"/>
  <c r="AD35" i="6"/>
  <c r="AJ35" i="6"/>
  <c r="AN35" i="6"/>
  <c r="CO35" i="6" s="1"/>
  <c r="AS35" i="6"/>
  <c r="AX35" i="6"/>
  <c r="BC35" i="6"/>
  <c r="AD34" i="6"/>
  <c r="AJ34" i="6"/>
  <c r="AN34" i="6"/>
  <c r="CO34" i="6" s="1"/>
  <c r="AS34" i="6"/>
  <c r="AX34" i="6"/>
  <c r="BC34" i="6"/>
  <c r="AG17" i="6"/>
  <c r="AE23" i="6" s="1"/>
  <c r="AG16" i="6"/>
  <c r="AE22" i="6" s="1"/>
  <c r="B43" i="6"/>
  <c r="B44" i="6"/>
  <c r="B45" i="6"/>
  <c r="B46" i="6"/>
  <c r="B47" i="6"/>
  <c r="B48" i="6"/>
  <c r="B49" i="6"/>
  <c r="B50" i="6"/>
  <c r="C43" i="6"/>
  <c r="C44" i="6"/>
  <c r="C45" i="6"/>
  <c r="C46" i="6"/>
  <c r="C47" i="6"/>
  <c r="C48" i="6"/>
  <c r="C49" i="6"/>
  <c r="C50" i="6"/>
  <c r="G43" i="6"/>
  <c r="G44" i="6"/>
  <c r="G45" i="6"/>
  <c r="G46" i="6"/>
  <c r="G47" i="6"/>
  <c r="G48" i="6"/>
  <c r="G49" i="6"/>
  <c r="G50" i="6"/>
  <c r="AR42" i="1"/>
  <c r="AR43" i="1"/>
  <c r="AR45" i="1"/>
  <c r="AR41" i="1"/>
  <c r="AR39" i="1"/>
  <c r="AR40" i="1"/>
  <c r="AR38" i="1"/>
  <c r="B42" i="6"/>
  <c r="C42" i="6"/>
  <c r="G42" i="6"/>
  <c r="AR37" i="1"/>
  <c r="B41" i="6"/>
  <c r="C41" i="6"/>
  <c r="G41" i="6"/>
  <c r="AR36" i="1"/>
  <c r="C22" i="6"/>
  <c r="C23" i="6"/>
  <c r="C24" i="6"/>
  <c r="K24" i="6" s="1"/>
  <c r="C25" i="6"/>
  <c r="K25" i="6" s="1"/>
  <c r="C26" i="6"/>
  <c r="K26" i="6" s="1"/>
  <c r="C27" i="6"/>
  <c r="C28" i="6"/>
  <c r="C29" i="6"/>
  <c r="C30" i="6"/>
  <c r="C31" i="6"/>
  <c r="C32" i="6"/>
  <c r="C33" i="6"/>
  <c r="C34" i="6"/>
  <c r="C35" i="6"/>
  <c r="C36" i="6"/>
  <c r="C37" i="6"/>
  <c r="C38" i="6"/>
  <c r="C39" i="6"/>
  <c r="C40" i="6"/>
  <c r="C21" i="6"/>
  <c r="B26" i="6"/>
  <c r="B27" i="6"/>
  <c r="B28" i="6"/>
  <c r="B29" i="6"/>
  <c r="B30" i="6"/>
  <c r="B31" i="6"/>
  <c r="B32" i="6"/>
  <c r="B33" i="6"/>
  <c r="B34" i="6"/>
  <c r="B35" i="6"/>
  <c r="B36" i="6"/>
  <c r="B37" i="6"/>
  <c r="B38" i="6"/>
  <c r="B39" i="6"/>
  <c r="B40" i="6"/>
  <c r="G26" i="6"/>
  <c r="G27" i="6"/>
  <c r="G28" i="6"/>
  <c r="G29" i="6"/>
  <c r="G30" i="6"/>
  <c r="G31" i="6"/>
  <c r="G32" i="6"/>
  <c r="G33" i="6"/>
  <c r="G34" i="6"/>
  <c r="G35" i="6"/>
  <c r="G36" i="6"/>
  <c r="G37" i="6"/>
  <c r="G38" i="6"/>
  <c r="G39" i="6"/>
  <c r="G40" i="6"/>
  <c r="AR35" i="1"/>
  <c r="AR34" i="1"/>
  <c r="AR33" i="1"/>
  <c r="AR32" i="1"/>
  <c r="AR31" i="1"/>
  <c r="AR30" i="1"/>
  <c r="AR29" i="1"/>
  <c r="AR28" i="1"/>
  <c r="AR26" i="1"/>
  <c r="AR27" i="1"/>
  <c r="AR24" i="1"/>
  <c r="AR25" i="1"/>
  <c r="B21" i="6"/>
  <c r="B22" i="6"/>
  <c r="B23" i="6"/>
  <c r="B24" i="6"/>
  <c r="B25" i="6"/>
  <c r="AR21" i="1"/>
  <c r="AR22" i="1"/>
  <c r="AR23" i="1"/>
  <c r="G21" i="6"/>
  <c r="G22" i="6"/>
  <c r="G23" i="6"/>
  <c r="G24" i="6"/>
  <c r="G25" i="6"/>
  <c r="AR11" i="1"/>
  <c r="AR12" i="1"/>
  <c r="AR13" i="1"/>
  <c r="AR14" i="1"/>
  <c r="AR18" i="1"/>
  <c r="AR19" i="1"/>
  <c r="AR20" i="1"/>
  <c r="AS21" i="6"/>
  <c r="CQ21" i="6" s="1"/>
  <c r="AS22" i="6"/>
  <c r="CQ22" i="6" s="1"/>
  <c r="AS23" i="6"/>
  <c r="CQ23" i="6" s="1"/>
  <c r="AS24" i="6"/>
  <c r="AS25" i="6"/>
  <c r="AS26" i="6"/>
  <c r="AS27" i="6"/>
  <c r="AS28" i="6"/>
  <c r="AS29" i="6"/>
  <c r="CQ29" i="6" s="1"/>
  <c r="AS30" i="6"/>
  <c r="AS31" i="6"/>
  <c r="AS32" i="6"/>
  <c r="AS33" i="6"/>
  <c r="AD21" i="6"/>
  <c r="AD22" i="6"/>
  <c r="AD23" i="6"/>
  <c r="AD24" i="6"/>
  <c r="AD25" i="6"/>
  <c r="AD26" i="6"/>
  <c r="AD27" i="6"/>
  <c r="AD28" i="6"/>
  <c r="AD29" i="6"/>
  <c r="AD30" i="6"/>
  <c r="AD31" i="6"/>
  <c r="AD32" i="6"/>
  <c r="AD33" i="6"/>
  <c r="AJ22" i="6"/>
  <c r="AJ23" i="6"/>
  <c r="AJ24" i="6"/>
  <c r="AJ25" i="6"/>
  <c r="AJ26" i="6"/>
  <c r="AJ27" i="6"/>
  <c r="AJ28" i="6"/>
  <c r="AJ29" i="6"/>
  <c r="AJ30" i="6"/>
  <c r="AJ31" i="6"/>
  <c r="AJ32" i="6"/>
  <c r="AJ33" i="6"/>
  <c r="BC21" i="6"/>
  <c r="CU21" i="6" s="1"/>
  <c r="BC22" i="6"/>
  <c r="CU22" i="6" s="1"/>
  <c r="BC23" i="6"/>
  <c r="CU23" i="6" s="1"/>
  <c r="BC24" i="6"/>
  <c r="CU24" i="6" s="1"/>
  <c r="BC25" i="6"/>
  <c r="BC26" i="6"/>
  <c r="BC27" i="6"/>
  <c r="BC28" i="6"/>
  <c r="BC29" i="6"/>
  <c r="CU29" i="6" s="1"/>
  <c r="BC30" i="6"/>
  <c r="BC31" i="6"/>
  <c r="BC32" i="6"/>
  <c r="BC33" i="6"/>
  <c r="AX21" i="6"/>
  <c r="CS21" i="6" s="1"/>
  <c r="AX22" i="6"/>
  <c r="CS22" i="6" s="1"/>
  <c r="AX23" i="6"/>
  <c r="CS23" i="6" s="1"/>
  <c r="AX24" i="6"/>
  <c r="AX25" i="6"/>
  <c r="AX26" i="6"/>
  <c r="AX27" i="6"/>
  <c r="AX28" i="6"/>
  <c r="CS28" i="6" s="1"/>
  <c r="AX29" i="6"/>
  <c r="AX30" i="6"/>
  <c r="AX31" i="6"/>
  <c r="AX32" i="6"/>
  <c r="AX33" i="6"/>
  <c r="AN21" i="6"/>
  <c r="CO21" i="6" s="1"/>
  <c r="AN22" i="6"/>
  <c r="CO22" i="6" s="1"/>
  <c r="AN23" i="6"/>
  <c r="CO23" i="6" s="1"/>
  <c r="AN24" i="6"/>
  <c r="AP24" i="6" s="1"/>
  <c r="AN25" i="6"/>
  <c r="AP25" i="6" s="1"/>
  <c r="AN26" i="6"/>
  <c r="AP26" i="6" s="1"/>
  <c r="AN27" i="6"/>
  <c r="AP27" i="6" s="1"/>
  <c r="AN28" i="6"/>
  <c r="AP28" i="6" s="1"/>
  <c r="AN29" i="6"/>
  <c r="CO29" i="6" s="1"/>
  <c r="AN30" i="6"/>
  <c r="CO30" i="6" s="1"/>
  <c r="AN31" i="6"/>
  <c r="AP31" i="6" s="1"/>
  <c r="AN32" i="6"/>
  <c r="AP32" i="6" s="1"/>
  <c r="AN33" i="6"/>
  <c r="CO33" i="6" s="1"/>
  <c r="AJ21" i="6"/>
  <c r="D16" i="3"/>
  <c r="D17" i="3"/>
  <c r="D18" i="3"/>
  <c r="D19" i="3"/>
  <c r="D20" i="3"/>
  <c r="D21" i="3"/>
  <c r="D22" i="3"/>
  <c r="D23" i="3"/>
  <c r="E20" i="3"/>
  <c r="E21" i="3"/>
  <c r="E22" i="3"/>
  <c r="E23" i="3"/>
  <c r="H16" i="3"/>
  <c r="H17" i="3"/>
  <c r="H18" i="3"/>
  <c r="H19" i="3"/>
  <c r="H20" i="3"/>
  <c r="H21" i="3"/>
  <c r="H22" i="3"/>
  <c r="H23" i="3"/>
  <c r="P32" i="3"/>
  <c r="I23" i="3" s="1"/>
  <c r="P31" i="3"/>
  <c r="I22" i="3" s="1"/>
  <c r="P30" i="3"/>
  <c r="I21" i="3" s="1"/>
  <c r="P29" i="3"/>
  <c r="I20" i="3" s="1"/>
  <c r="P12" i="3"/>
  <c r="P13" i="3"/>
  <c r="P14" i="3"/>
  <c r="P15" i="3"/>
  <c r="P16" i="3"/>
  <c r="E16" i="3" s="1"/>
  <c r="P17" i="3"/>
  <c r="E17" i="3" s="1"/>
  <c r="P18" i="3"/>
  <c r="E18" i="3" s="1"/>
  <c r="P19" i="3"/>
  <c r="E19" i="3" s="1"/>
  <c r="P20" i="3"/>
  <c r="P21" i="3"/>
  <c r="P22" i="3"/>
  <c r="P23" i="3"/>
  <c r="P24" i="3"/>
  <c r="P25" i="3"/>
  <c r="I16" i="3" s="1"/>
  <c r="P26" i="3"/>
  <c r="I17" i="3" s="1"/>
  <c r="P27" i="3"/>
  <c r="I18" i="3" s="1"/>
  <c r="P28" i="3"/>
  <c r="I19" i="3" s="1"/>
  <c r="S11" i="4"/>
  <c r="S12" i="4"/>
  <c r="S13" i="4"/>
  <c r="S14" i="4"/>
  <c r="S15" i="4"/>
  <c r="S16" i="4"/>
  <c r="S17" i="4"/>
  <c r="P11" i="4"/>
  <c r="P12" i="4"/>
  <c r="P13" i="4"/>
  <c r="P14" i="4"/>
  <c r="P15" i="4"/>
  <c r="P16" i="4"/>
  <c r="P17" i="4"/>
  <c r="P18" i="4"/>
  <c r="U11" i="4" l="1"/>
  <c r="W11" i="4" s="1"/>
  <c r="U12" i="4"/>
  <c r="W12" i="4" s="1"/>
  <c r="U16" i="4"/>
  <c r="W16" i="4" s="1"/>
  <c r="U17" i="4"/>
  <c r="W17" i="4" s="1"/>
  <c r="U13" i="4"/>
  <c r="DK81" i="30"/>
  <c r="AQ22" i="30"/>
  <c r="BF22" i="30"/>
  <c r="CJ22" i="30"/>
  <c r="BK22" i="30"/>
  <c r="BZ22" i="30"/>
  <c r="AV22" i="30"/>
  <c r="CE22" i="30"/>
  <c r="BP22" i="30"/>
  <c r="BA22" i="30"/>
  <c r="BU22" i="30"/>
  <c r="C14" i="10"/>
  <c r="C16" i="10" s="1"/>
  <c r="C17" i="10" s="1"/>
  <c r="C12" i="13"/>
  <c r="E12" i="13" s="1"/>
  <c r="F12" i="13"/>
  <c r="T14" i="4"/>
  <c r="U14" i="4"/>
  <c r="T15" i="4"/>
  <c r="U15" i="4"/>
  <c r="AZ35" i="6"/>
  <c r="BY35" i="6"/>
  <c r="CD35" i="6"/>
  <c r="CI35" i="6"/>
  <c r="AZ33" i="6"/>
  <c r="BJ33" i="6"/>
  <c r="BT33" i="6"/>
  <c r="BY33" i="6"/>
  <c r="CI33" i="6"/>
  <c r="AU36" i="6"/>
  <c r="AU33" i="6"/>
  <c r="AU35" i="6"/>
  <c r="BE32" i="6"/>
  <c r="CD60" i="6"/>
  <c r="BE60" i="6"/>
  <c r="BT75" i="6"/>
  <c r="CD75" i="6"/>
  <c r="BY75" i="6"/>
  <c r="CI75" i="6"/>
  <c r="BE75" i="6"/>
  <c r="BO75" i="6"/>
  <c r="BO60" i="6"/>
  <c r="BJ60" i="6"/>
  <c r="AU75" i="6"/>
  <c r="BY60" i="6"/>
  <c r="BT60" i="6"/>
  <c r="AZ75" i="6"/>
  <c r="AZ60" i="6"/>
  <c r="BJ75" i="6"/>
  <c r="AU60" i="6"/>
  <c r="CI60" i="6"/>
  <c r="BT66" i="6"/>
  <c r="AU66" i="6"/>
  <c r="BY66" i="6"/>
  <c r="CI66" i="6"/>
  <c r="BJ66" i="6"/>
  <c r="BE66" i="6"/>
  <c r="BO66" i="6"/>
  <c r="AZ66" i="6"/>
  <c r="CD66" i="6"/>
  <c r="BT71" i="6"/>
  <c r="BY71" i="6"/>
  <c r="AU71" i="6"/>
  <c r="BO71" i="6"/>
  <c r="CD71" i="6"/>
  <c r="AZ71" i="6"/>
  <c r="CI71" i="6"/>
  <c r="BE71" i="6"/>
  <c r="BJ71" i="6"/>
  <c r="BE74" i="6"/>
  <c r="AU74" i="6"/>
  <c r="BJ74" i="6"/>
  <c r="BT74" i="6"/>
  <c r="BY74" i="6"/>
  <c r="CD74" i="6"/>
  <c r="AZ74" i="6"/>
  <c r="BO74" i="6"/>
  <c r="CI74" i="6"/>
  <c r="BT103" i="6"/>
  <c r="BJ103" i="6"/>
  <c r="CD103" i="6"/>
  <c r="AZ103" i="6"/>
  <c r="BO103" i="6"/>
  <c r="BE103" i="6"/>
  <c r="CI103" i="6"/>
  <c r="BY103" i="6"/>
  <c r="AU103" i="6"/>
  <c r="AU108" i="6"/>
  <c r="BE108" i="6"/>
  <c r="CD108" i="6"/>
  <c r="BO108" i="6"/>
  <c r="BJ108" i="6"/>
  <c r="BT108" i="6"/>
  <c r="BY108" i="6"/>
  <c r="AZ108" i="6"/>
  <c r="CI108" i="6"/>
  <c r="BT78" i="6"/>
  <c r="BY78" i="6"/>
  <c r="AU78" i="6"/>
  <c r="CD78" i="6"/>
  <c r="BE78" i="6"/>
  <c r="BO78" i="6"/>
  <c r="BJ78" i="6"/>
  <c r="AZ78" i="6"/>
  <c r="CI78" i="6"/>
  <c r="BY70" i="6"/>
  <c r="BO70" i="6"/>
  <c r="BT70" i="6"/>
  <c r="BJ70" i="6"/>
  <c r="AZ70" i="6"/>
  <c r="BE70" i="6"/>
  <c r="CI70" i="6"/>
  <c r="CD70" i="6"/>
  <c r="AU70" i="6"/>
  <c r="CI42" i="6"/>
  <c r="BY42" i="6"/>
  <c r="BJ42" i="6"/>
  <c r="BT42" i="6"/>
  <c r="AU42" i="6"/>
  <c r="BO42" i="6"/>
  <c r="CD42" i="6"/>
  <c r="AZ42" i="6"/>
  <c r="BE42" i="6"/>
  <c r="CD51" i="6"/>
  <c r="BY51" i="6"/>
  <c r="BO51" i="6"/>
  <c r="AU51" i="6"/>
  <c r="CI51" i="6"/>
  <c r="BE51" i="6"/>
  <c r="AZ51" i="6"/>
  <c r="BT51" i="6"/>
  <c r="AP51" i="6"/>
  <c r="BJ51" i="6"/>
  <c r="CD44" i="6"/>
  <c r="BE44" i="6"/>
  <c r="BT44" i="6"/>
  <c r="BO44" i="6"/>
  <c r="BJ44" i="6"/>
  <c r="BY44" i="6"/>
  <c r="AZ44" i="6"/>
  <c r="AU44" i="6"/>
  <c r="CI44" i="6"/>
  <c r="CI39" i="6"/>
  <c r="BY39" i="6"/>
  <c r="AU39" i="6"/>
  <c r="BO39" i="6"/>
  <c r="BJ39" i="6"/>
  <c r="CD39" i="6"/>
  <c r="BT39" i="6"/>
  <c r="BE39" i="6"/>
  <c r="AZ39" i="6"/>
  <c r="CI47" i="6"/>
  <c r="AU47" i="6"/>
  <c r="BE47" i="6"/>
  <c r="BY47" i="6"/>
  <c r="BO47" i="6"/>
  <c r="BT47" i="6"/>
  <c r="BJ47" i="6"/>
  <c r="AZ47" i="6"/>
  <c r="CD47" i="6"/>
  <c r="CI85" i="6"/>
  <c r="CD85" i="6"/>
  <c r="BO85" i="6"/>
  <c r="BJ85" i="6"/>
  <c r="AZ85" i="6"/>
  <c r="BY85" i="6"/>
  <c r="AU85" i="6"/>
  <c r="BT85" i="6"/>
  <c r="BE85" i="6"/>
  <c r="BJ36" i="6"/>
  <c r="BJ32" i="6"/>
  <c r="BO36" i="6"/>
  <c r="BO32" i="6"/>
  <c r="BT36" i="6"/>
  <c r="BT32" i="6"/>
  <c r="BY36" i="6"/>
  <c r="BY32" i="6"/>
  <c r="CD36" i="6"/>
  <c r="CD32" i="6"/>
  <c r="CI36" i="6"/>
  <c r="CI32" i="6"/>
  <c r="BE96" i="6"/>
  <c r="CD96" i="6"/>
  <c r="BO96" i="6"/>
  <c r="BY96" i="6"/>
  <c r="CI96" i="6"/>
  <c r="AZ96" i="6"/>
  <c r="AU96" i="6"/>
  <c r="BT96" i="6"/>
  <c r="BJ96" i="6"/>
  <c r="BO67" i="6"/>
  <c r="CD67" i="6"/>
  <c r="CI67" i="6"/>
  <c r="BE67" i="6"/>
  <c r="AU67" i="6"/>
  <c r="AZ67" i="6"/>
  <c r="BY67" i="6"/>
  <c r="BT67" i="6"/>
  <c r="BJ67" i="6"/>
  <c r="CD40" i="6"/>
  <c r="BE40" i="6"/>
  <c r="BO40" i="6"/>
  <c r="BY40" i="6"/>
  <c r="BJ40" i="6"/>
  <c r="BT40" i="6"/>
  <c r="CI40" i="6"/>
  <c r="AZ40" i="6"/>
  <c r="AU40" i="6"/>
  <c r="BE88" i="6"/>
  <c r="BO88" i="6"/>
  <c r="CD88" i="6"/>
  <c r="BT88" i="6"/>
  <c r="BJ88" i="6"/>
  <c r="BY88" i="6"/>
  <c r="CI88" i="6"/>
  <c r="AZ88" i="6"/>
  <c r="AU88" i="6"/>
  <c r="CD73" i="6"/>
  <c r="BO73" i="6"/>
  <c r="CI73" i="6"/>
  <c r="BY111" i="6"/>
  <c r="AU73" i="6"/>
  <c r="BY73" i="6"/>
  <c r="AZ73" i="6"/>
  <c r="AZ111" i="6"/>
  <c r="AU111" i="6"/>
  <c r="CI111" i="6"/>
  <c r="BT111" i="6"/>
  <c r="BE111" i="6"/>
  <c r="BO111" i="6"/>
  <c r="BJ111" i="6"/>
  <c r="BT73" i="6"/>
  <c r="BE73" i="6"/>
  <c r="CD111" i="6"/>
  <c r="BJ73" i="6"/>
  <c r="BJ43" i="6"/>
  <c r="BY43" i="6"/>
  <c r="AU43" i="6"/>
  <c r="BT43" i="6"/>
  <c r="CD43" i="6"/>
  <c r="AZ43" i="6"/>
  <c r="CI43" i="6"/>
  <c r="BE43" i="6"/>
  <c r="BO43" i="6"/>
  <c r="BO92" i="6"/>
  <c r="BO82" i="6"/>
  <c r="BE92" i="6"/>
  <c r="BJ92" i="6"/>
  <c r="AZ82" i="6"/>
  <c r="BJ82" i="6"/>
  <c r="BT82" i="6"/>
  <c r="BT92" i="6"/>
  <c r="CD92" i="6"/>
  <c r="AU82" i="6"/>
  <c r="BY82" i="6"/>
  <c r="BE82" i="6"/>
  <c r="CI82" i="6"/>
  <c r="CD82" i="6"/>
  <c r="AZ92" i="6"/>
  <c r="AU92" i="6"/>
  <c r="CI92" i="6"/>
  <c r="BY92" i="6"/>
  <c r="BY83" i="6"/>
  <c r="BO83" i="6"/>
  <c r="BJ93" i="6"/>
  <c r="BY93" i="6"/>
  <c r="AU93" i="6"/>
  <c r="BO93" i="6"/>
  <c r="AZ93" i="6"/>
  <c r="CD93" i="6"/>
  <c r="AU83" i="6"/>
  <c r="CI93" i="6"/>
  <c r="CI83" i="6"/>
  <c r="BT93" i="6"/>
  <c r="AZ83" i="6"/>
  <c r="CD83" i="6"/>
  <c r="BE83" i="6"/>
  <c r="BJ83" i="6"/>
  <c r="BE93" i="6"/>
  <c r="BT83" i="6"/>
  <c r="BO68" i="6"/>
  <c r="BT68" i="6"/>
  <c r="BE68" i="6"/>
  <c r="BJ68" i="6"/>
  <c r="CD68" i="6"/>
  <c r="BY68" i="6"/>
  <c r="AZ68" i="6"/>
  <c r="AU68" i="6"/>
  <c r="CI68" i="6"/>
  <c r="AZ55" i="6"/>
  <c r="CI101" i="6"/>
  <c r="CD55" i="6"/>
  <c r="AU101" i="6"/>
  <c r="BO101" i="6"/>
  <c r="BY101" i="6"/>
  <c r="AZ101" i="6"/>
  <c r="BJ101" i="6"/>
  <c r="BE55" i="6"/>
  <c r="BT101" i="6"/>
  <c r="CD101" i="6"/>
  <c r="CI55" i="6"/>
  <c r="AU55" i="6"/>
  <c r="BY55" i="6"/>
  <c r="BJ55" i="6"/>
  <c r="BE101" i="6"/>
  <c r="BO55" i="6"/>
  <c r="BT55" i="6"/>
  <c r="BO48" i="6"/>
  <c r="BY48" i="6"/>
  <c r="CD48" i="6"/>
  <c r="BE48" i="6"/>
  <c r="CI48" i="6"/>
  <c r="AZ48" i="6"/>
  <c r="BT48" i="6"/>
  <c r="BJ48" i="6"/>
  <c r="AU48" i="6"/>
  <c r="BE91" i="6"/>
  <c r="BT91" i="6"/>
  <c r="BY91" i="6"/>
  <c r="AU91" i="6"/>
  <c r="CI91" i="6"/>
  <c r="AZ91" i="6"/>
  <c r="CD91" i="6"/>
  <c r="BJ91" i="6"/>
  <c r="BO91" i="6"/>
  <c r="BE36" i="6"/>
  <c r="BJ97" i="6"/>
  <c r="AZ97" i="6"/>
  <c r="CI97" i="6"/>
  <c r="AU97" i="6"/>
  <c r="CD97" i="6"/>
  <c r="BE97" i="6"/>
  <c r="BT97" i="6"/>
  <c r="BY97" i="6"/>
  <c r="BO97" i="6"/>
  <c r="CI69" i="6"/>
  <c r="CD69" i="6"/>
  <c r="AU69" i="6"/>
  <c r="BO69" i="6"/>
  <c r="BJ69" i="6"/>
  <c r="BY69" i="6"/>
  <c r="BT69" i="6"/>
  <c r="BE69" i="6"/>
  <c r="AZ69" i="6"/>
  <c r="BY50" i="6"/>
  <c r="BJ50" i="6"/>
  <c r="BO50" i="6"/>
  <c r="AZ50" i="6"/>
  <c r="CI50" i="6"/>
  <c r="BT50" i="6"/>
  <c r="AU50" i="6"/>
  <c r="CD50" i="6"/>
  <c r="BE50" i="6"/>
  <c r="AZ95" i="6"/>
  <c r="AU95" i="6"/>
  <c r="BE95" i="6"/>
  <c r="CI95" i="6"/>
  <c r="BY95" i="6"/>
  <c r="BT95" i="6"/>
  <c r="BO95" i="6"/>
  <c r="BJ95" i="6"/>
  <c r="CD95" i="6"/>
  <c r="AU32" i="6"/>
  <c r="AZ36" i="6"/>
  <c r="BT94" i="6"/>
  <c r="AZ94" i="6"/>
  <c r="CD94" i="6"/>
  <c r="AU94" i="6"/>
  <c r="BY94" i="6"/>
  <c r="BO94" i="6"/>
  <c r="BE94" i="6"/>
  <c r="BJ94" i="6"/>
  <c r="CI94" i="6"/>
  <c r="BE112" i="6"/>
  <c r="BO112" i="6"/>
  <c r="CD112" i="6"/>
  <c r="BY112" i="6"/>
  <c r="CI112" i="6"/>
  <c r="AU112" i="6"/>
  <c r="BJ112" i="6"/>
  <c r="AZ112" i="6"/>
  <c r="BT112" i="6"/>
  <c r="AZ89" i="6"/>
  <c r="BE89" i="6"/>
  <c r="CI89" i="6"/>
  <c r="BT89" i="6"/>
  <c r="CD89" i="6"/>
  <c r="AU89" i="6"/>
  <c r="BY89" i="6"/>
  <c r="BJ89" i="6"/>
  <c r="BO89" i="6"/>
  <c r="BO72" i="6"/>
  <c r="BT72" i="6"/>
  <c r="BE72" i="6"/>
  <c r="CD72" i="6"/>
  <c r="BT110" i="6"/>
  <c r="CD110" i="6"/>
  <c r="AZ110" i="6"/>
  <c r="BJ110" i="6"/>
  <c r="BO110" i="6"/>
  <c r="BY72" i="6"/>
  <c r="AU110" i="6"/>
  <c r="BJ72" i="6"/>
  <c r="BE110" i="6"/>
  <c r="BY110" i="6"/>
  <c r="CI72" i="6"/>
  <c r="AZ72" i="6"/>
  <c r="CI110" i="6"/>
  <c r="AU72" i="6"/>
  <c r="CD54" i="6"/>
  <c r="BY54" i="6"/>
  <c r="BJ54" i="6"/>
  <c r="BT54" i="6"/>
  <c r="BE54" i="6"/>
  <c r="AZ54" i="6"/>
  <c r="BO54" i="6"/>
  <c r="CI54" i="6"/>
  <c r="AU54" i="6"/>
  <c r="BE107" i="6"/>
  <c r="AZ107" i="6"/>
  <c r="CI107" i="6"/>
  <c r="AU107" i="6"/>
  <c r="CD107" i="6"/>
  <c r="BO107" i="6"/>
  <c r="BT107" i="6"/>
  <c r="BJ107" i="6"/>
  <c r="BY107" i="6"/>
  <c r="AZ81" i="6"/>
  <c r="CD65" i="6"/>
  <c r="CI65" i="6"/>
  <c r="BJ65" i="6"/>
  <c r="BT65" i="6"/>
  <c r="AU65" i="6"/>
  <c r="AU81" i="6"/>
  <c r="BY81" i="6"/>
  <c r="BJ81" i="6"/>
  <c r="BE81" i="6"/>
  <c r="CI81" i="6"/>
  <c r="AZ65" i="6"/>
  <c r="BE65" i="6"/>
  <c r="BO81" i="6"/>
  <c r="CD81" i="6"/>
  <c r="BT81" i="6"/>
  <c r="BY65" i="6"/>
  <c r="BO65" i="6"/>
  <c r="H70" i="6"/>
  <c r="F70" i="6"/>
  <c r="T11" i="4"/>
  <c r="AC75" i="1"/>
  <c r="I37" i="1"/>
  <c r="W101" i="1"/>
  <c r="G92" i="1"/>
  <c r="G101" i="1"/>
  <c r="I103" i="1"/>
  <c r="O92" i="1"/>
  <c r="K135" i="1"/>
  <c r="O101" i="1"/>
  <c r="Q92" i="1"/>
  <c r="K37" i="1"/>
  <c r="I92" i="1"/>
  <c r="Q101" i="1"/>
  <c r="I102" i="1"/>
  <c r="G135" i="1"/>
  <c r="S92" i="1"/>
  <c r="S101" i="1"/>
  <c r="G102" i="1"/>
  <c r="M135" i="1"/>
  <c r="I101" i="1"/>
  <c r="O135" i="1"/>
  <c r="K92" i="1"/>
  <c r="K101" i="1"/>
  <c r="G103" i="1"/>
  <c r="G37" i="1"/>
  <c r="I135" i="1"/>
  <c r="Q135" i="1"/>
  <c r="M92" i="1"/>
  <c r="U92" i="1"/>
  <c r="M101" i="1"/>
  <c r="U101" i="1"/>
  <c r="J12" i="13"/>
  <c r="I13" i="13" s="1"/>
  <c r="K11" i="13"/>
  <c r="DE35" i="6"/>
  <c r="B13" i="13"/>
  <c r="F13" i="13" s="1"/>
  <c r="D12" i="13"/>
  <c r="AE21" i="6"/>
  <c r="DC36" i="6"/>
  <c r="DG35" i="6"/>
  <c r="DA33" i="6"/>
  <c r="DC35" i="6"/>
  <c r="DG34" i="6"/>
  <c r="DC33" i="6"/>
  <c r="CW32" i="6"/>
  <c r="DC32" i="6"/>
  <c r="DE36" i="6"/>
  <c r="DG32" i="6"/>
  <c r="CY32" i="6"/>
  <c r="DE32" i="6"/>
  <c r="DG36" i="6"/>
  <c r="CW34" i="6"/>
  <c r="CY34" i="6"/>
  <c r="CW36" i="6"/>
  <c r="CY36" i="6"/>
  <c r="DA36" i="6"/>
  <c r="DA32" i="6"/>
  <c r="AC19" i="1"/>
  <c r="H54" i="6"/>
  <c r="CU32" i="6"/>
  <c r="CW21" i="6"/>
  <c r="DC34" i="6"/>
  <c r="DE26" i="6"/>
  <c r="BJ35" i="6"/>
  <c r="CD33" i="6"/>
  <c r="CS31" i="6"/>
  <c r="DA34" i="6"/>
  <c r="CW26" i="6"/>
  <c r="DE34" i="6"/>
  <c r="CS35" i="6"/>
  <c r="CW33" i="6"/>
  <c r="DC26" i="6"/>
  <c r="DG26" i="6"/>
  <c r="DG33" i="6"/>
  <c r="CS25" i="6"/>
  <c r="AZ32" i="6"/>
  <c r="CS32" i="6"/>
  <c r="BE35" i="6"/>
  <c r="CU35" i="6"/>
  <c r="CW27" i="6"/>
  <c r="BO35" i="6"/>
  <c r="CY35" i="6"/>
  <c r="DA23" i="6"/>
  <c r="DC31" i="6"/>
  <c r="DE27" i="6"/>
  <c r="DG31" i="6"/>
  <c r="BE33" i="6"/>
  <c r="CU33" i="6"/>
  <c r="CQ35" i="6"/>
  <c r="CU36" i="6"/>
  <c r="CU27" i="6"/>
  <c r="CS27" i="6"/>
  <c r="CU28" i="6"/>
  <c r="CS26" i="6"/>
  <c r="CU34" i="6"/>
  <c r="CU25" i="6"/>
  <c r="CY31" i="6"/>
  <c r="DE23" i="6"/>
  <c r="BT35" i="6"/>
  <c r="CS29" i="6"/>
  <c r="CU26" i="6"/>
  <c r="CU31" i="6"/>
  <c r="CS33" i="6"/>
  <c r="CS24" i="6"/>
  <c r="CW25" i="6"/>
  <c r="BO33" i="6"/>
  <c r="CY33" i="6"/>
  <c r="DA21" i="6"/>
  <c r="DE29" i="6"/>
  <c r="DE21" i="6"/>
  <c r="CS34" i="6"/>
  <c r="CS36" i="6"/>
  <c r="CS30" i="6"/>
  <c r="DC30" i="6"/>
  <c r="DA30" i="6"/>
  <c r="DE30" i="6"/>
  <c r="DG30" i="6"/>
  <c r="CU30" i="6"/>
  <c r="CQ27" i="6"/>
  <c r="CQ33" i="6"/>
  <c r="CQ25" i="6"/>
  <c r="CQ31" i="6"/>
  <c r="CQ34" i="6"/>
  <c r="CQ30" i="6"/>
  <c r="CQ26" i="6"/>
  <c r="CQ36" i="6"/>
  <c r="CQ32" i="6"/>
  <c r="CQ28" i="6"/>
  <c r="CQ24" i="6"/>
  <c r="H69" i="6"/>
  <c r="H65" i="6"/>
  <c r="H61" i="6"/>
  <c r="H57" i="6"/>
  <c r="F69" i="6"/>
  <c r="F65" i="6"/>
  <c r="F61" i="6"/>
  <c r="F57" i="6"/>
  <c r="H68" i="6"/>
  <c r="H64" i="6"/>
  <c r="H60" i="6"/>
  <c r="H56" i="6"/>
  <c r="F68" i="6"/>
  <c r="F64" i="6"/>
  <c r="F60" i="6"/>
  <c r="F56" i="6"/>
  <c r="F53" i="6"/>
  <c r="H67" i="6"/>
  <c r="H63" i="6"/>
  <c r="H59" i="6"/>
  <c r="H55" i="6"/>
  <c r="F67" i="6"/>
  <c r="F63" i="6"/>
  <c r="F59" i="6"/>
  <c r="F55" i="6"/>
  <c r="H66" i="6"/>
  <c r="H62" i="6"/>
  <c r="H58" i="6"/>
  <c r="F66" i="6"/>
  <c r="F62" i="6"/>
  <c r="F58" i="6"/>
  <c r="F54" i="6"/>
  <c r="AP30" i="6"/>
  <c r="CO27" i="6"/>
  <c r="AP35" i="6"/>
  <c r="CO31" i="6"/>
  <c r="CO36" i="6"/>
  <c r="CO26" i="6"/>
  <c r="AP34" i="6"/>
  <c r="CO32" i="6"/>
  <c r="CO25" i="6"/>
  <c r="AP33" i="6"/>
  <c r="AP29" i="6"/>
  <c r="CO28" i="6"/>
  <c r="CO24" i="6"/>
  <c r="AC93" i="1"/>
  <c r="AC146" i="1"/>
  <c r="AC70" i="1"/>
  <c r="AC55" i="1"/>
  <c r="AC60" i="1"/>
  <c r="AC120" i="1"/>
  <c r="AC140" i="1"/>
  <c r="AC53" i="1"/>
  <c r="AC111" i="1"/>
  <c r="AC52" i="1"/>
  <c r="AC48" i="1"/>
  <c r="AC114" i="1"/>
  <c r="AC110" i="1"/>
  <c r="AC74" i="1"/>
  <c r="AC89" i="1"/>
  <c r="AC25" i="1"/>
  <c r="AC33" i="1"/>
  <c r="AC150" i="1"/>
  <c r="AC41" i="1"/>
  <c r="AC29" i="1"/>
  <c r="AC22" i="1"/>
  <c r="AC49" i="1"/>
  <c r="AC63" i="1"/>
  <c r="AC123" i="1"/>
  <c r="AC82" i="1"/>
  <c r="AC38" i="1"/>
  <c r="AC27" i="1"/>
  <c r="AC15" i="1"/>
  <c r="AC31" i="1"/>
  <c r="AC47" i="1"/>
  <c r="AC26" i="1"/>
  <c r="AC134" i="1"/>
  <c r="AC127" i="1"/>
  <c r="AC34" i="1"/>
  <c r="AC141" i="1"/>
  <c r="AC17" i="1"/>
  <c r="AC64" i="1"/>
  <c r="AC124" i="1"/>
  <c r="AC80" i="1"/>
  <c r="AC54" i="1"/>
  <c r="AC107" i="1"/>
  <c r="AC78" i="1"/>
  <c r="AC88" i="1"/>
  <c r="AC144" i="1"/>
  <c r="AC65" i="1"/>
  <c r="AC108" i="1"/>
  <c r="AC151" i="1"/>
  <c r="AC125" i="1"/>
  <c r="AC62" i="1"/>
  <c r="AC56" i="1"/>
  <c r="AC76" i="1"/>
  <c r="AC129" i="1"/>
  <c r="AC145" i="1"/>
  <c r="AC12" i="1"/>
  <c r="AC106" i="1"/>
  <c r="AC136" i="1"/>
  <c r="AC104" i="1"/>
  <c r="AC96" i="1"/>
  <c r="AC36" i="1"/>
  <c r="AC59" i="1"/>
  <c r="AC61" i="1"/>
  <c r="AC113" i="1"/>
  <c r="AC142" i="1"/>
  <c r="AC24" i="1"/>
  <c r="AC87" i="1"/>
  <c r="AC16" i="1"/>
  <c r="AC43" i="1"/>
  <c r="AC11" i="1"/>
  <c r="AC119" i="1"/>
  <c r="AC14" i="1"/>
  <c r="AC83" i="1"/>
  <c r="AC128" i="1"/>
  <c r="AZ31" i="6" s="1"/>
  <c r="AC115" i="1"/>
  <c r="AC139" i="1"/>
  <c r="AA112" i="1"/>
  <c r="AA109" i="1"/>
  <c r="AA28" i="1"/>
  <c r="AA51" i="1"/>
  <c r="AA100" i="1"/>
  <c r="AA97" i="1"/>
  <c r="AA98" i="1"/>
  <c r="AA122" i="1"/>
  <c r="AA84" i="1"/>
  <c r="AA40" i="1"/>
  <c r="AA50" i="1"/>
  <c r="AA77" i="1"/>
  <c r="AA86" i="1"/>
  <c r="AA32" i="1"/>
  <c r="AA23" i="1"/>
  <c r="AA79" i="1"/>
  <c r="F52" i="6"/>
  <c r="F51" i="6"/>
  <c r="F50" i="6"/>
  <c r="H51" i="6"/>
  <c r="H52" i="6"/>
  <c r="H53" i="6"/>
  <c r="H45" i="6"/>
  <c r="H43" i="6"/>
  <c r="H50" i="6"/>
  <c r="H46" i="6"/>
  <c r="F46" i="6"/>
  <c r="H49" i="6"/>
  <c r="F45" i="6"/>
  <c r="H48" i="6"/>
  <c r="H44" i="6"/>
  <c r="F48" i="6"/>
  <c r="F44" i="6"/>
  <c r="F49" i="6"/>
  <c r="H47" i="6"/>
  <c r="F47" i="6"/>
  <c r="F43" i="6"/>
  <c r="H42" i="6"/>
  <c r="F42" i="6"/>
  <c r="F41" i="6"/>
  <c r="H41" i="6"/>
  <c r="F23" i="6"/>
  <c r="F39" i="6"/>
  <c r="F31" i="6"/>
  <c r="F34" i="6"/>
  <c r="F25" i="6"/>
  <c r="F21" i="6"/>
  <c r="F37" i="6"/>
  <c r="F33" i="6"/>
  <c r="F29" i="6"/>
  <c r="F35" i="6"/>
  <c r="H27" i="6"/>
  <c r="F22" i="6"/>
  <c r="F38" i="6"/>
  <c r="F30" i="6"/>
  <c r="F26" i="6"/>
  <c r="F24" i="6"/>
  <c r="F40" i="6"/>
  <c r="F36" i="6"/>
  <c r="F32" i="6"/>
  <c r="F28" i="6"/>
  <c r="H39" i="6"/>
  <c r="F27" i="6"/>
  <c r="H31" i="6"/>
  <c r="H40" i="6"/>
  <c r="H36" i="6"/>
  <c r="H32" i="6"/>
  <c r="H28" i="6"/>
  <c r="H35" i="6"/>
  <c r="H38" i="6"/>
  <c r="H34" i="6"/>
  <c r="H30" i="6"/>
  <c r="H26" i="6"/>
  <c r="H37" i="6"/>
  <c r="H33" i="6"/>
  <c r="H29" i="6"/>
  <c r="H25" i="6"/>
  <c r="H24" i="6"/>
  <c r="H23" i="6"/>
  <c r="H21" i="6"/>
  <c r="H22" i="6"/>
  <c r="G11" i="4"/>
  <c r="D11" i="4"/>
  <c r="T17" i="4"/>
  <c r="T16" i="4"/>
  <c r="G16" i="4" s="1"/>
  <c r="T13" i="4"/>
  <c r="T12" i="4"/>
  <c r="I12" i="3"/>
  <c r="I13" i="3"/>
  <c r="I14" i="3"/>
  <c r="I15" i="3"/>
  <c r="H11" i="3"/>
  <c r="H12" i="3"/>
  <c r="H13" i="3"/>
  <c r="H14" i="3"/>
  <c r="H15" i="3"/>
  <c r="D11" i="3"/>
  <c r="D12" i="3"/>
  <c r="D13" i="3"/>
  <c r="D14" i="3"/>
  <c r="D15" i="3"/>
  <c r="P11" i="3"/>
  <c r="E15" i="3" s="1"/>
  <c r="E12" i="3"/>
  <c r="I11" i="3"/>
  <c r="CI64" i="30" l="1"/>
  <c r="BY64" i="30"/>
  <c r="BO64" i="30"/>
  <c r="BE64" i="30"/>
  <c r="CD64" i="30"/>
  <c r="BT64" i="30"/>
  <c r="BJ64" i="30"/>
  <c r="AZ64" i="30"/>
  <c r="D15" i="4"/>
  <c r="W15" i="4"/>
  <c r="G14" i="4"/>
  <c r="Z40" i="30" s="1"/>
  <c r="W14" i="4"/>
  <c r="S18" i="4"/>
  <c r="T18" i="4" s="1"/>
  <c r="W13" i="4"/>
  <c r="G12" i="4"/>
  <c r="Y32" i="30" s="1"/>
  <c r="G17" i="4"/>
  <c r="H17" i="4" s="1"/>
  <c r="U18" i="4"/>
  <c r="G13" i="4"/>
  <c r="H13" i="4" s="1"/>
  <c r="X47" i="30"/>
  <c r="X60" i="30"/>
  <c r="X56" i="30"/>
  <c r="X41" i="30"/>
  <c r="X59" i="30"/>
  <c r="X65" i="30"/>
  <c r="X40" i="30"/>
  <c r="X51" i="30"/>
  <c r="X24" i="30"/>
  <c r="X31" i="30"/>
  <c r="X48" i="30"/>
  <c r="X58" i="30"/>
  <c r="X64" i="30"/>
  <c r="X67" i="30"/>
  <c r="X45" i="30"/>
  <c r="X62" i="30"/>
  <c r="X55" i="30"/>
  <c r="X23" i="30"/>
  <c r="X66" i="30"/>
  <c r="X57" i="30"/>
  <c r="X63" i="30"/>
  <c r="X33" i="30"/>
  <c r="X37" i="30"/>
  <c r="X38" i="30"/>
  <c r="X35" i="30"/>
  <c r="X49" i="30"/>
  <c r="X29" i="30"/>
  <c r="X68" i="30"/>
  <c r="X34" i="30"/>
  <c r="X32" i="30"/>
  <c r="X54" i="30"/>
  <c r="X53" i="30"/>
  <c r="X61" i="30"/>
  <c r="X42" i="30"/>
  <c r="X25" i="30"/>
  <c r="X28" i="30"/>
  <c r="X27" i="30"/>
  <c r="X69" i="30"/>
  <c r="X39" i="30"/>
  <c r="X52" i="30"/>
  <c r="X70" i="30"/>
  <c r="X50" i="30"/>
  <c r="X53" i="6"/>
  <c r="X56" i="6"/>
  <c r="X51" i="6"/>
  <c r="X58" i="6"/>
  <c r="X61" i="6"/>
  <c r="X48" i="6"/>
  <c r="X57" i="6"/>
  <c r="X63" i="6"/>
  <c r="X69" i="6"/>
  <c r="X68" i="6"/>
  <c r="X52" i="6"/>
  <c r="X67" i="6"/>
  <c r="X70" i="6"/>
  <c r="X60" i="6"/>
  <c r="X49" i="6"/>
  <c r="X65" i="6"/>
  <c r="X55" i="6"/>
  <c r="X62" i="6"/>
  <c r="X64" i="6"/>
  <c r="X47" i="6"/>
  <c r="X66" i="6"/>
  <c r="X50" i="6"/>
  <c r="X59" i="6"/>
  <c r="X54" i="6"/>
  <c r="G15" i="4"/>
  <c r="H15" i="4" s="1"/>
  <c r="CL22" i="30"/>
  <c r="AM22" i="30"/>
  <c r="P21" i="30"/>
  <c r="V21" i="30" s="1"/>
  <c r="CI21" i="6"/>
  <c r="D14" i="4"/>
  <c r="BJ30" i="6"/>
  <c r="BJ26" i="6"/>
  <c r="BT30" i="6"/>
  <c r="BO26" i="6"/>
  <c r="BT26" i="6"/>
  <c r="CD30" i="6"/>
  <c r="CD26" i="6"/>
  <c r="BT31" i="6"/>
  <c r="AZ26" i="6"/>
  <c r="CI34" i="6"/>
  <c r="BO34" i="6"/>
  <c r="BO31" i="6"/>
  <c r="BJ38" i="6"/>
  <c r="BT38" i="6"/>
  <c r="AZ38" i="6"/>
  <c r="BO38" i="6"/>
  <c r="BY38" i="6"/>
  <c r="AU38" i="6"/>
  <c r="CD38" i="6"/>
  <c r="BE38" i="6"/>
  <c r="CI38" i="6"/>
  <c r="AU57" i="6"/>
  <c r="CD57" i="6"/>
  <c r="BY57" i="6"/>
  <c r="CI57" i="6"/>
  <c r="BO57" i="6"/>
  <c r="BJ57" i="6"/>
  <c r="BT57" i="6"/>
  <c r="BE57" i="6"/>
  <c r="AZ57" i="6"/>
  <c r="BE105" i="6"/>
  <c r="AZ105" i="6"/>
  <c r="CI105" i="6"/>
  <c r="CD105" i="6"/>
  <c r="AU105" i="6"/>
  <c r="BJ105" i="6"/>
  <c r="BO105" i="6"/>
  <c r="BT105" i="6"/>
  <c r="BY105" i="6"/>
  <c r="AU37" i="6"/>
  <c r="CD37" i="6"/>
  <c r="CI37" i="6"/>
  <c r="BJ37" i="6"/>
  <c r="BO37" i="6"/>
  <c r="BY37" i="6"/>
  <c r="BT37" i="6"/>
  <c r="BE37" i="6"/>
  <c r="AZ37" i="6"/>
  <c r="BO99" i="6"/>
  <c r="BE99" i="6"/>
  <c r="BY99" i="6"/>
  <c r="CD99" i="6"/>
  <c r="AU99" i="6"/>
  <c r="AZ99" i="6"/>
  <c r="CI99" i="6"/>
  <c r="BJ99" i="6"/>
  <c r="BT99" i="6"/>
  <c r="AU77" i="6"/>
  <c r="BY77" i="6"/>
  <c r="CD77" i="6"/>
  <c r="BE62" i="6"/>
  <c r="AZ77" i="6"/>
  <c r="BJ77" i="6"/>
  <c r="AU62" i="6"/>
  <c r="BY62" i="6"/>
  <c r="CD62" i="6"/>
  <c r="BT62" i="6"/>
  <c r="BO77" i="6"/>
  <c r="BO62" i="6"/>
  <c r="AZ62" i="6"/>
  <c r="BT77" i="6"/>
  <c r="BJ62" i="6"/>
  <c r="CI77" i="6"/>
  <c r="BE77" i="6"/>
  <c r="CI62" i="6"/>
  <c r="BY63" i="6"/>
  <c r="BE63" i="6"/>
  <c r="CI63" i="6"/>
  <c r="BT63" i="6"/>
  <c r="BJ63" i="6"/>
  <c r="CD63" i="6"/>
  <c r="AU63" i="6"/>
  <c r="AZ63" i="6"/>
  <c r="BO63" i="6"/>
  <c r="BY90" i="6"/>
  <c r="BJ90" i="6"/>
  <c r="CD90" i="6"/>
  <c r="AZ90" i="6"/>
  <c r="BT90" i="6"/>
  <c r="AU90" i="6"/>
  <c r="BO90" i="6"/>
  <c r="BE90" i="6"/>
  <c r="CI90" i="6"/>
  <c r="BY46" i="6"/>
  <c r="BJ46" i="6"/>
  <c r="BE46" i="6"/>
  <c r="AZ46" i="6"/>
  <c r="BT46" i="6"/>
  <c r="CD46" i="6"/>
  <c r="BO46" i="6"/>
  <c r="CI46" i="6"/>
  <c r="AU46" i="6"/>
  <c r="CD87" i="6"/>
  <c r="AZ87" i="6"/>
  <c r="BE87" i="6"/>
  <c r="BY87" i="6"/>
  <c r="CI87" i="6"/>
  <c r="AU87" i="6"/>
  <c r="BO87" i="6"/>
  <c r="BT87" i="6"/>
  <c r="BJ87" i="6"/>
  <c r="AZ113" i="6"/>
  <c r="BJ113" i="6"/>
  <c r="CD113" i="6"/>
  <c r="CI113" i="6"/>
  <c r="AU113" i="6"/>
  <c r="BT113" i="6"/>
  <c r="BY113" i="6"/>
  <c r="BO113" i="6"/>
  <c r="BE113" i="6"/>
  <c r="AU41" i="6"/>
  <c r="CD41" i="6"/>
  <c r="BY41" i="6"/>
  <c r="BO41" i="6"/>
  <c r="CI41" i="6"/>
  <c r="BJ41" i="6"/>
  <c r="AZ41" i="6"/>
  <c r="BE41" i="6"/>
  <c r="BT41" i="6"/>
  <c r="BT56" i="6"/>
  <c r="CD56" i="6"/>
  <c r="BE56" i="6"/>
  <c r="BY56" i="6"/>
  <c r="BJ56" i="6"/>
  <c r="BO56" i="6"/>
  <c r="CI56" i="6"/>
  <c r="AZ56" i="6"/>
  <c r="AU56" i="6"/>
  <c r="BJ61" i="6"/>
  <c r="BT76" i="6"/>
  <c r="AU61" i="6"/>
  <c r="BY61" i="6"/>
  <c r="BE76" i="6"/>
  <c r="BO61" i="6"/>
  <c r="BO76" i="6"/>
  <c r="CD76" i="6"/>
  <c r="CI61" i="6"/>
  <c r="CD61" i="6"/>
  <c r="BJ76" i="6"/>
  <c r="BY76" i="6"/>
  <c r="BT61" i="6"/>
  <c r="AZ76" i="6"/>
  <c r="BE61" i="6"/>
  <c r="AU76" i="6"/>
  <c r="AZ61" i="6"/>
  <c r="CI76" i="6"/>
  <c r="CI30" i="6"/>
  <c r="BE26" i="6"/>
  <c r="BJ31" i="6"/>
  <c r="BY26" i="6"/>
  <c r="CI26" i="6"/>
  <c r="AU26" i="6"/>
  <c r="CD34" i="6"/>
  <c r="BJ34" i="6"/>
  <c r="AZ34" i="6"/>
  <c r="AZ30" i="6"/>
  <c r="BJ53" i="6"/>
  <c r="AU53" i="6"/>
  <c r="BO53" i="6"/>
  <c r="BE53" i="6"/>
  <c r="BT53" i="6"/>
  <c r="BY53" i="6"/>
  <c r="AZ53" i="6"/>
  <c r="CD53" i="6"/>
  <c r="CI53" i="6"/>
  <c r="BT58" i="6"/>
  <c r="CD58" i="6"/>
  <c r="BJ58" i="6"/>
  <c r="CI58" i="6"/>
  <c r="BY58" i="6"/>
  <c r="AZ58" i="6"/>
  <c r="BO58" i="6"/>
  <c r="BE58" i="6"/>
  <c r="BY31" i="6"/>
  <c r="BY34" i="6"/>
  <c r="BO52" i="6"/>
  <c r="BT52" i="6"/>
  <c r="CD52" i="6"/>
  <c r="BE52" i="6"/>
  <c r="BJ52" i="6"/>
  <c r="BY52" i="6"/>
  <c r="AZ52" i="6"/>
  <c r="AU52" i="6"/>
  <c r="CI52" i="6"/>
  <c r="CI79" i="6"/>
  <c r="BE79" i="6"/>
  <c r="AZ79" i="6"/>
  <c r="BY79" i="6"/>
  <c r="BO79" i="6"/>
  <c r="AU79" i="6"/>
  <c r="CD79" i="6"/>
  <c r="BJ79" i="6"/>
  <c r="BT79" i="6"/>
  <c r="BE114" i="6"/>
  <c r="BO114" i="6"/>
  <c r="AU114" i="6"/>
  <c r="BJ114" i="6"/>
  <c r="BY114" i="6"/>
  <c r="CI114" i="6"/>
  <c r="CD114" i="6"/>
  <c r="BT114" i="6"/>
  <c r="AZ114" i="6"/>
  <c r="CD45" i="6"/>
  <c r="BJ45" i="6"/>
  <c r="BE45" i="6"/>
  <c r="BO45" i="6"/>
  <c r="BY45" i="6"/>
  <c r="AU45" i="6"/>
  <c r="CI45" i="6"/>
  <c r="BT45" i="6"/>
  <c r="AZ45" i="6"/>
  <c r="CD80" i="6"/>
  <c r="BY80" i="6"/>
  <c r="BO64" i="6"/>
  <c r="CD64" i="6"/>
  <c r="BE80" i="6"/>
  <c r="BY64" i="6"/>
  <c r="BE64" i="6"/>
  <c r="BO80" i="6"/>
  <c r="CI80" i="6"/>
  <c r="CI64" i="6"/>
  <c r="BT80" i="6"/>
  <c r="BJ80" i="6"/>
  <c r="BT64" i="6"/>
  <c r="BJ64" i="6"/>
  <c r="AZ80" i="6"/>
  <c r="AZ64" i="6"/>
  <c r="AU80" i="6"/>
  <c r="AU64" i="6"/>
  <c r="BY86" i="6"/>
  <c r="BO86" i="6"/>
  <c r="BT86" i="6"/>
  <c r="BJ86" i="6"/>
  <c r="AZ86" i="6"/>
  <c r="BE86" i="6"/>
  <c r="CD86" i="6"/>
  <c r="CI86" i="6"/>
  <c r="AU86" i="6"/>
  <c r="AU102" i="6"/>
  <c r="BO102" i="6"/>
  <c r="CD102" i="6"/>
  <c r="AZ102" i="6"/>
  <c r="BT102" i="6"/>
  <c r="BJ102" i="6"/>
  <c r="BE102" i="6"/>
  <c r="BY102" i="6"/>
  <c r="CI102" i="6"/>
  <c r="BT104" i="6"/>
  <c r="BO104" i="6"/>
  <c r="BE104" i="6"/>
  <c r="CD104" i="6"/>
  <c r="BJ104" i="6"/>
  <c r="BY104" i="6"/>
  <c r="CI104" i="6"/>
  <c r="AU104" i="6"/>
  <c r="AZ104" i="6"/>
  <c r="BJ84" i="6"/>
  <c r="AU98" i="6"/>
  <c r="CI98" i="6"/>
  <c r="BE109" i="6"/>
  <c r="CD109" i="6"/>
  <c r="BY98" i="6"/>
  <c r="BE84" i="6"/>
  <c r="BO84" i="6"/>
  <c r="BT98" i="6"/>
  <c r="BT84" i="6"/>
  <c r="BJ98" i="6"/>
  <c r="CD84" i="6"/>
  <c r="BY84" i="6"/>
  <c r="BO98" i="6"/>
  <c r="AZ98" i="6"/>
  <c r="BE98" i="6"/>
  <c r="AZ84" i="6"/>
  <c r="BJ109" i="6"/>
  <c r="AU84" i="6"/>
  <c r="BO109" i="6"/>
  <c r="CD98" i="6"/>
  <c r="BT109" i="6"/>
  <c r="CI84" i="6"/>
  <c r="AU109" i="6"/>
  <c r="BY109" i="6"/>
  <c r="CI109" i="6"/>
  <c r="AZ109" i="6"/>
  <c r="BE59" i="6"/>
  <c r="AU59" i="6"/>
  <c r="CD59" i="6"/>
  <c r="CI59" i="6"/>
  <c r="AZ59" i="6"/>
  <c r="BT59" i="6"/>
  <c r="BJ59" i="6"/>
  <c r="BY59" i="6"/>
  <c r="BO59" i="6"/>
  <c r="BJ49" i="6"/>
  <c r="CI49" i="6"/>
  <c r="AU49" i="6"/>
  <c r="BT49" i="6"/>
  <c r="CD49" i="6"/>
  <c r="BY49" i="6"/>
  <c r="BO49" i="6"/>
  <c r="AZ49" i="6"/>
  <c r="BE49" i="6"/>
  <c r="BT106" i="6"/>
  <c r="BJ106" i="6"/>
  <c r="BY106" i="6"/>
  <c r="BO106" i="6"/>
  <c r="CD106" i="6"/>
  <c r="AZ106" i="6"/>
  <c r="BE106" i="6"/>
  <c r="AU106" i="6"/>
  <c r="CI106" i="6"/>
  <c r="BO30" i="6"/>
  <c r="AU30" i="6"/>
  <c r="BY30" i="6"/>
  <c r="BE31" i="6"/>
  <c r="CD31" i="6"/>
  <c r="CI31" i="6"/>
  <c r="CD100" i="6"/>
  <c r="BT100" i="6"/>
  <c r="BO100" i="6"/>
  <c r="BE100" i="6"/>
  <c r="BY100" i="6"/>
  <c r="BJ100" i="6"/>
  <c r="AZ100" i="6"/>
  <c r="CI100" i="6"/>
  <c r="AU100" i="6"/>
  <c r="BT34" i="6"/>
  <c r="BE30" i="6"/>
  <c r="AU34" i="6"/>
  <c r="BE34" i="6"/>
  <c r="AU31" i="6"/>
  <c r="BJ21" i="6"/>
  <c r="BY27" i="6"/>
  <c r="J13" i="13"/>
  <c r="I14" i="13" s="1"/>
  <c r="K12" i="13"/>
  <c r="AZ21" i="6"/>
  <c r="CD21" i="6"/>
  <c r="BT21" i="6"/>
  <c r="AU21" i="6"/>
  <c r="AP21" i="6"/>
  <c r="BE21" i="6"/>
  <c r="BO21" i="6"/>
  <c r="BY21" i="6"/>
  <c r="BT27" i="6"/>
  <c r="BY28" i="6"/>
  <c r="CI27" i="6"/>
  <c r="CD27" i="6"/>
  <c r="BO27" i="6"/>
  <c r="BE29" i="6"/>
  <c r="AU28" i="6"/>
  <c r="BJ27" i="6"/>
  <c r="AZ27" i="6"/>
  <c r="CI25" i="6"/>
  <c r="BJ23" i="6"/>
  <c r="AU27" i="6"/>
  <c r="BE27" i="6"/>
  <c r="B14" i="13"/>
  <c r="F14" i="13" s="1"/>
  <c r="D13" i="13"/>
  <c r="C13" i="13"/>
  <c r="BO22" i="6"/>
  <c r="BT29" i="6"/>
  <c r="AP23" i="6"/>
  <c r="CD29" i="6"/>
  <c r="AU25" i="6"/>
  <c r="BE25" i="6"/>
  <c r="BE24" i="6"/>
  <c r="BT22" i="6"/>
  <c r="CD22" i="6"/>
  <c r="BJ22" i="6"/>
  <c r="AZ23" i="6"/>
  <c r="CI23" i="6"/>
  <c r="BJ29" i="6"/>
  <c r="AZ28" i="6"/>
  <c r="BY24" i="6"/>
  <c r="AZ25" i="6"/>
  <c r="CI28" i="6"/>
  <c r="CI29" i="6"/>
  <c r="BO29" i="6"/>
  <c r="AU29" i="6"/>
  <c r="BE23" i="6"/>
  <c r="AU24" i="6"/>
  <c r="CD25" i="6"/>
  <c r="CI22" i="6"/>
  <c r="CD23" i="6"/>
  <c r="BY29" i="6"/>
  <c r="CD28" i="6"/>
  <c r="BJ28" i="6"/>
  <c r="BT28" i="6"/>
  <c r="BT24" i="6"/>
  <c r="CD24" i="6"/>
  <c r="BJ24" i="6"/>
  <c r="AZ24" i="6"/>
  <c r="BY25" i="6"/>
  <c r="AU23" i="6"/>
  <c r="BO23" i="6"/>
  <c r="BT25" i="6"/>
  <c r="BJ25" i="6"/>
  <c r="BO28" i="6"/>
  <c r="AZ29" i="6"/>
  <c r="BY22" i="6"/>
  <c r="BE28" i="6"/>
  <c r="BO24" i="6"/>
  <c r="BY23" i="6"/>
  <c r="BT23" i="6"/>
  <c r="CI24" i="6"/>
  <c r="BO25" i="6"/>
  <c r="BE22" i="6"/>
  <c r="AZ22" i="6"/>
  <c r="AU22" i="6"/>
  <c r="AP22" i="6"/>
  <c r="E11" i="3"/>
  <c r="H16" i="4"/>
  <c r="I16" i="4"/>
  <c r="J16" i="4" s="1"/>
  <c r="H11" i="4"/>
  <c r="I11" i="4"/>
  <c r="J11" i="4" s="1"/>
  <c r="D13" i="4"/>
  <c r="D16" i="4"/>
  <c r="D17" i="4"/>
  <c r="D12" i="4"/>
  <c r="E14" i="3"/>
  <c r="E13" i="3"/>
  <c r="E4" i="3"/>
  <c r="G4" i="3"/>
  <c r="G5" i="3"/>
  <c r="Y53" i="6" l="1"/>
  <c r="Y58" i="6"/>
  <c r="Z53" i="6"/>
  <c r="Z54" i="6"/>
  <c r="Y45" i="30"/>
  <c r="Z69" i="30"/>
  <c r="Y41" i="30"/>
  <c r="Z58" i="30"/>
  <c r="Y49" i="6"/>
  <c r="Y39" i="30"/>
  <c r="Z62" i="6"/>
  <c r="Z24" i="30"/>
  <c r="Y48" i="6"/>
  <c r="Y53" i="30"/>
  <c r="Z55" i="6"/>
  <c r="Z49" i="30"/>
  <c r="Y63" i="6"/>
  <c r="Y35" i="30"/>
  <c r="Y42" i="30"/>
  <c r="Y59" i="30"/>
  <c r="Z48" i="6"/>
  <c r="Z31" i="30"/>
  <c r="Z65" i="30"/>
  <c r="Z35" i="30"/>
  <c r="Y65" i="6"/>
  <c r="Y61" i="30"/>
  <c r="Y65" i="30"/>
  <c r="Y33" i="30"/>
  <c r="Z64" i="6"/>
  <c r="Z70" i="30"/>
  <c r="Z37" i="30"/>
  <c r="Z34" i="30"/>
  <c r="I14" i="4"/>
  <c r="J14" i="4" s="1"/>
  <c r="Y66" i="6"/>
  <c r="Y52" i="6"/>
  <c r="Y54" i="6"/>
  <c r="Y68" i="30"/>
  <c r="Y64" i="30"/>
  <c r="Y47" i="30"/>
  <c r="Y52" i="30"/>
  <c r="Y28" i="30"/>
  <c r="Y27" i="30"/>
  <c r="Z50" i="6"/>
  <c r="Z56" i="6"/>
  <c r="Z60" i="6"/>
  <c r="Z33" i="30"/>
  <c r="Z45" i="30"/>
  <c r="Z53" i="30"/>
  <c r="Z54" i="30"/>
  <c r="Z61" i="30"/>
  <c r="H14" i="4"/>
  <c r="Y57" i="6"/>
  <c r="Y68" i="6"/>
  <c r="Y70" i="6"/>
  <c r="Y63" i="30"/>
  <c r="Y58" i="30"/>
  <c r="Y67" i="30"/>
  <c r="Y60" i="30"/>
  <c r="Y24" i="30"/>
  <c r="Y31" i="30"/>
  <c r="Z66" i="6"/>
  <c r="Z70" i="6"/>
  <c r="Z61" i="6"/>
  <c r="Z48" i="30"/>
  <c r="Z47" i="30"/>
  <c r="Z68" i="30"/>
  <c r="Z67" i="30"/>
  <c r="Z51" i="30"/>
  <c r="I17" i="4"/>
  <c r="J17" i="4" s="1"/>
  <c r="I12" i="4"/>
  <c r="J12" i="4" s="1"/>
  <c r="Y60" i="6"/>
  <c r="Y51" i="6"/>
  <c r="Y61" i="6"/>
  <c r="Y62" i="6"/>
  <c r="Y47" i="6"/>
  <c r="Y64" i="6"/>
  <c r="Y51" i="30"/>
  <c r="Y49" i="30"/>
  <c r="Y50" i="30"/>
  <c r="Y48" i="30"/>
  <c r="Y56" i="30"/>
  <c r="Y25" i="30"/>
  <c r="Y40" i="30"/>
  <c r="Y34" i="30"/>
  <c r="Y70" i="30"/>
  <c r="Y29" i="30"/>
  <c r="Z51" i="6"/>
  <c r="Z59" i="6"/>
  <c r="Z63" i="6"/>
  <c r="Z69" i="6"/>
  <c r="Z67" i="6"/>
  <c r="Z57" i="6"/>
  <c r="Z56" i="30"/>
  <c r="Z23" i="30"/>
  <c r="Z60" i="30"/>
  <c r="Z25" i="30"/>
  <c r="Z39" i="30"/>
  <c r="Z62" i="30"/>
  <c r="Z66" i="30"/>
  <c r="Z63" i="30"/>
  <c r="Z52" i="30"/>
  <c r="Z57" i="30"/>
  <c r="Z41" i="30"/>
  <c r="H12" i="4"/>
  <c r="Y55" i="6"/>
  <c r="Y59" i="6"/>
  <c r="Y50" i="6"/>
  <c r="Y56" i="6"/>
  <c r="Y67" i="6"/>
  <c r="Y69" i="6"/>
  <c r="Y54" i="30"/>
  <c r="Y66" i="30"/>
  <c r="Y62" i="30"/>
  <c r="Y37" i="30"/>
  <c r="Y69" i="30"/>
  <c r="Y55" i="30"/>
  <c r="Y23" i="30"/>
  <c r="Y38" i="30"/>
  <c r="Y57" i="30"/>
  <c r="Z49" i="6"/>
  <c r="Z52" i="6"/>
  <c r="Z47" i="6"/>
  <c r="Z58" i="6"/>
  <c r="Z68" i="6"/>
  <c r="Z65" i="6"/>
  <c r="Z38" i="30"/>
  <c r="Z28" i="30"/>
  <c r="Z27" i="30"/>
  <c r="Z29" i="30"/>
  <c r="Z32" i="30"/>
  <c r="Z59" i="30"/>
  <c r="Z50" i="30"/>
  <c r="Z55" i="30"/>
  <c r="Z42" i="30"/>
  <c r="Z64" i="30"/>
  <c r="G18" i="4"/>
  <c r="H18" i="4" s="1"/>
  <c r="W18" i="4"/>
  <c r="I13" i="4"/>
  <c r="J13" i="4" s="1"/>
  <c r="D18" i="4"/>
  <c r="D7" i="4" s="1"/>
  <c r="I15" i="4"/>
  <c r="J15" i="4" s="1"/>
  <c r="CK22" i="30"/>
  <c r="DH22" i="30" s="1"/>
  <c r="CF22" i="30"/>
  <c r="DF22" i="30" s="1"/>
  <c r="CA22" i="30"/>
  <c r="DD22" i="30" s="1"/>
  <c r="BV22" i="30"/>
  <c r="DB22" i="30" s="1"/>
  <c r="BQ22" i="30"/>
  <c r="CZ22" i="30" s="1"/>
  <c r="BL22" i="30"/>
  <c r="CX22" i="30" s="1"/>
  <c r="BG22" i="30"/>
  <c r="CV22" i="30" s="1"/>
  <c r="BB22" i="30"/>
  <c r="CT22" i="30" s="1"/>
  <c r="AW22" i="30"/>
  <c r="CR22" i="30" s="1"/>
  <c r="AR22" i="30"/>
  <c r="CP22" i="30" s="1"/>
  <c r="AK22" i="30"/>
  <c r="CN22" i="30" s="1"/>
  <c r="J14" i="13"/>
  <c r="I15" i="13" s="1"/>
  <c r="K13" i="13"/>
  <c r="E13" i="13"/>
  <c r="C14" i="13"/>
  <c r="E14" i="13" s="1"/>
  <c r="B15" i="13"/>
  <c r="F15" i="13" s="1"/>
  <c r="D14" i="13"/>
  <c r="E5" i="3"/>
  <c r="E6" i="3" s="1"/>
  <c r="G6" i="3"/>
  <c r="I18" i="4" l="1"/>
  <c r="J18" i="4" s="1"/>
  <c r="AQ24" i="30"/>
  <c r="DK95" i="30"/>
  <c r="BZ23" i="30"/>
  <c r="AQ23" i="30"/>
  <c r="AV23" i="30"/>
  <c r="BA23" i="30"/>
  <c r="CE23" i="30"/>
  <c r="BF23" i="30"/>
  <c r="CJ23" i="30"/>
  <c r="BU23" i="30"/>
  <c r="BK23" i="30"/>
  <c r="BP23" i="30"/>
  <c r="J15" i="13"/>
  <c r="I16" i="13" s="1"/>
  <c r="K14" i="13"/>
  <c r="C15" i="13"/>
  <c r="B16" i="13"/>
  <c r="F16" i="13" s="1"/>
  <c r="D15" i="13"/>
  <c r="CL23" i="30" l="1"/>
  <c r="AM23" i="30"/>
  <c r="J16" i="13"/>
  <c r="I17" i="13" s="1"/>
  <c r="K15" i="13"/>
  <c r="C16" i="13"/>
  <c r="D16" i="13"/>
  <c r="B17" i="13"/>
  <c r="F17" i="13" s="1"/>
  <c r="L12" i="13" s="1"/>
  <c r="E15" i="13"/>
  <c r="CK23" i="30" l="1"/>
  <c r="DH23" i="30" s="1"/>
  <c r="CF23" i="30"/>
  <c r="DF23" i="30" s="1"/>
  <c r="CA23" i="30"/>
  <c r="DD23" i="30" s="1"/>
  <c r="BV23" i="30"/>
  <c r="DB23" i="30" s="1"/>
  <c r="BQ23" i="30"/>
  <c r="CZ23" i="30" s="1"/>
  <c r="BL23" i="30"/>
  <c r="CX23" i="30" s="1"/>
  <c r="BG23" i="30"/>
  <c r="CV23" i="30" s="1"/>
  <c r="BB23" i="30"/>
  <c r="CT23" i="30" s="1"/>
  <c r="AW23" i="30"/>
  <c r="CR23" i="30" s="1"/>
  <c r="AR23" i="30"/>
  <c r="CP23" i="30" s="1"/>
  <c r="AK23" i="30"/>
  <c r="CN23" i="30" s="1"/>
  <c r="J17" i="13"/>
  <c r="I18" i="13" s="1"/>
  <c r="K16" i="13"/>
  <c r="E16" i="13"/>
  <c r="B18" i="13"/>
  <c r="F18" i="13" s="1"/>
  <c r="F19" i="13" s="1"/>
  <c r="F20" i="13" s="1"/>
  <c r="F21" i="13" s="1"/>
  <c r="F22" i="13" s="1"/>
  <c r="F23" i="13" s="1"/>
  <c r="F24" i="13" s="1"/>
  <c r="F25" i="13" s="1"/>
  <c r="F26" i="13" s="1"/>
  <c r="F27" i="13" s="1"/>
  <c r="F28" i="13" s="1"/>
  <c r="F29" i="13" s="1"/>
  <c r="F30" i="13" s="1"/>
  <c r="F31" i="13" s="1"/>
  <c r="F32" i="13" s="1"/>
  <c r="F33" i="13" s="1"/>
  <c r="F34" i="13" s="1"/>
  <c r="F35" i="13" s="1"/>
  <c r="L11" i="13" s="1"/>
  <c r="C17" i="13"/>
  <c r="D17" i="13"/>
  <c r="DK114" i="30" l="1"/>
  <c r="AV25" i="30"/>
  <c r="CE24" i="30"/>
  <c r="AV24" i="30"/>
  <c r="BP24" i="30"/>
  <c r="BF24" i="30"/>
  <c r="BK24" i="30"/>
  <c r="CJ24" i="30"/>
  <c r="BZ24" i="30"/>
  <c r="BA24" i="30"/>
  <c r="BU24" i="30"/>
  <c r="L13" i="13"/>
  <c r="L16" i="13"/>
  <c r="J18" i="13"/>
  <c r="I19" i="13" s="1"/>
  <c r="K17" i="13"/>
  <c r="L17" i="13" s="1"/>
  <c r="E17" i="13"/>
  <c r="C18" i="13"/>
  <c r="B19" i="13"/>
  <c r="D18" i="13"/>
  <c r="AM24" i="30" l="1"/>
  <c r="CL24" i="30"/>
  <c r="J19" i="13"/>
  <c r="I20" i="13" s="1"/>
  <c r="K18" i="13"/>
  <c r="L18" i="13" s="1"/>
  <c r="E18" i="13"/>
  <c r="C19" i="13"/>
  <c r="E19" i="13" s="1"/>
  <c r="D19" i="13"/>
  <c r="B20" i="13"/>
  <c r="CK24" i="30" l="1"/>
  <c r="DH24" i="30" s="1"/>
  <c r="BQ24" i="30"/>
  <c r="CZ24" i="30" s="1"/>
  <c r="AW24" i="30"/>
  <c r="CR24" i="30" s="1"/>
  <c r="CF24" i="30"/>
  <c r="DF24" i="30" s="1"/>
  <c r="BL24" i="30"/>
  <c r="CX24" i="30" s="1"/>
  <c r="AR24" i="30"/>
  <c r="CP24" i="30" s="1"/>
  <c r="CA24" i="30"/>
  <c r="DD24" i="30" s="1"/>
  <c r="BG24" i="30"/>
  <c r="CV24" i="30" s="1"/>
  <c r="AK24" i="30"/>
  <c r="CN24" i="30" s="1"/>
  <c r="DK113" i="30" s="1"/>
  <c r="BV24" i="30"/>
  <c r="DB24" i="30" s="1"/>
  <c r="BB24" i="30"/>
  <c r="CT24" i="30" s="1"/>
  <c r="J20" i="13"/>
  <c r="I21" i="13" s="1"/>
  <c r="K19" i="13"/>
  <c r="L19" i="13" s="1"/>
  <c r="C20" i="13"/>
  <c r="B21" i="13"/>
  <c r="D20" i="13"/>
  <c r="BP25" i="30" l="1"/>
  <c r="CE25" i="30"/>
  <c r="BF25" i="30"/>
  <c r="BK25" i="30"/>
  <c r="BU25" i="30"/>
  <c r="BA25" i="30"/>
  <c r="CJ25" i="30"/>
  <c r="BZ25" i="30"/>
  <c r="AQ25" i="30"/>
  <c r="P22" i="30"/>
  <c r="V22" i="30" s="1"/>
  <c r="DM113" i="30"/>
  <c r="J21" i="13"/>
  <c r="I22" i="13" s="1"/>
  <c r="K20" i="13"/>
  <c r="L20" i="13" s="1"/>
  <c r="B22" i="13"/>
  <c r="L14" i="13" s="1"/>
  <c r="C21" i="13"/>
  <c r="E21" i="13" s="1"/>
  <c r="D21" i="13"/>
  <c r="E20" i="13"/>
  <c r="I58" i="30" l="1"/>
  <c r="J58" i="30" s="1"/>
  <c r="K58" i="30" s="1"/>
  <c r="I41" i="30"/>
  <c r="J41" i="30" s="1"/>
  <c r="DN113" i="30"/>
  <c r="I21" i="30"/>
  <c r="J21" i="30" s="1"/>
  <c r="R22" i="30"/>
  <c r="I27" i="30"/>
  <c r="J27" i="30" s="1"/>
  <c r="I32" i="30"/>
  <c r="J32" i="30" s="1"/>
  <c r="AM25" i="30"/>
  <c r="CL25" i="30"/>
  <c r="J22" i="13"/>
  <c r="I23" i="13" s="1"/>
  <c r="K21" i="13"/>
  <c r="L21" i="13" s="1"/>
  <c r="D22" i="13"/>
  <c r="C22" i="13"/>
  <c r="E22" i="13" s="1"/>
  <c r="B23" i="13"/>
  <c r="K21" i="30" l="1"/>
  <c r="E11" i="30"/>
  <c r="AK25" i="30"/>
  <c r="CN25" i="30" s="1"/>
  <c r="DK59" i="30" s="1"/>
  <c r="BV25" i="30"/>
  <c r="DB25" i="30" s="1"/>
  <c r="BB25" i="30"/>
  <c r="CT25" i="30" s="1"/>
  <c r="CK25" i="30"/>
  <c r="DH25" i="30" s="1"/>
  <c r="BQ25" i="30"/>
  <c r="CZ25" i="30" s="1"/>
  <c r="AW25" i="30"/>
  <c r="CR25" i="30" s="1"/>
  <c r="CF25" i="30"/>
  <c r="DF25" i="30" s="1"/>
  <c r="BL25" i="30"/>
  <c r="CX25" i="30" s="1"/>
  <c r="AR25" i="30"/>
  <c r="CP25" i="30" s="1"/>
  <c r="CA25" i="30"/>
  <c r="DD25" i="30" s="1"/>
  <c r="BG25" i="30"/>
  <c r="CV25" i="30" s="1"/>
  <c r="T22" i="30"/>
  <c r="S22" i="30"/>
  <c r="K32" i="30"/>
  <c r="K27" i="30"/>
  <c r="K41" i="30"/>
  <c r="J23" i="13"/>
  <c r="I24" i="13" s="1"/>
  <c r="J24" i="13" s="1"/>
  <c r="I25" i="13" s="1"/>
  <c r="K22" i="13"/>
  <c r="L22" i="13" s="1"/>
  <c r="D23" i="13"/>
  <c r="C23" i="13"/>
  <c r="E23" i="13" s="1"/>
  <c r="B24" i="13"/>
  <c r="AQ26" i="30" l="1"/>
  <c r="P23" i="30"/>
  <c r="V23" i="30" s="1"/>
  <c r="DM59" i="30"/>
  <c r="BA26" i="30"/>
  <c r="BP26" i="30"/>
  <c r="BU26" i="30"/>
  <c r="BZ26" i="30"/>
  <c r="BK26" i="30"/>
  <c r="CJ26" i="30"/>
  <c r="BF26" i="30"/>
  <c r="CE26" i="30"/>
  <c r="AV26" i="30"/>
  <c r="J25" i="13"/>
  <c r="I26" i="13" s="1"/>
  <c r="K24" i="13"/>
  <c r="L24" i="13" s="1"/>
  <c r="K23" i="13"/>
  <c r="L23" i="13" s="1"/>
  <c r="B25" i="13"/>
  <c r="B26" i="13" s="1"/>
  <c r="C24" i="13"/>
  <c r="E24" i="13" s="1"/>
  <c r="D24" i="13"/>
  <c r="DN59" i="30" l="1"/>
  <c r="I44" i="30"/>
  <c r="J44" i="30" s="1"/>
  <c r="K44" i="30" s="1"/>
  <c r="I34" i="30"/>
  <c r="J34" i="30" s="1"/>
  <c r="K34" i="30" s="1"/>
  <c r="I22" i="30"/>
  <c r="J22" i="30" s="1"/>
  <c r="R23" i="30"/>
  <c r="I28" i="30"/>
  <c r="J28" i="30" s="1"/>
  <c r="CL26" i="30"/>
  <c r="AM26" i="30"/>
  <c r="C26" i="13"/>
  <c r="E26" i="13" s="1"/>
  <c r="D26" i="13"/>
  <c r="B27" i="13"/>
  <c r="K25" i="13"/>
  <c r="L25" i="13" s="1"/>
  <c r="J26" i="13"/>
  <c r="I27" i="13" s="1"/>
  <c r="C25" i="13"/>
  <c r="D25" i="13"/>
  <c r="K22" i="30" l="1"/>
  <c r="CK26" i="30"/>
  <c r="DH26" i="30" s="1"/>
  <c r="BQ26" i="30"/>
  <c r="CZ26" i="30" s="1"/>
  <c r="CF26" i="30"/>
  <c r="DF26" i="30" s="1"/>
  <c r="BL26" i="30"/>
  <c r="CX26" i="30" s="1"/>
  <c r="AR26" i="30"/>
  <c r="CP26" i="30" s="1"/>
  <c r="CA26" i="30"/>
  <c r="DD26" i="30" s="1"/>
  <c r="BG26" i="30"/>
  <c r="CV26" i="30" s="1"/>
  <c r="AK26" i="30"/>
  <c r="CN26" i="30" s="1"/>
  <c r="AV27" i="30" s="1"/>
  <c r="AW26" i="30"/>
  <c r="CR26" i="30" s="1"/>
  <c r="BV26" i="30"/>
  <c r="DB26" i="30" s="1"/>
  <c r="BB26" i="30"/>
  <c r="CT26" i="30" s="1"/>
  <c r="K28" i="30"/>
  <c r="T23" i="30"/>
  <c r="S23" i="30"/>
  <c r="B28" i="13"/>
  <c r="C27" i="13"/>
  <c r="E27" i="13" s="1"/>
  <c r="D27" i="13"/>
  <c r="J27" i="13"/>
  <c r="I28" i="13" s="1"/>
  <c r="K26" i="13"/>
  <c r="L26" i="13" s="1"/>
  <c r="E25" i="13"/>
  <c r="CJ27" i="30" l="1"/>
  <c r="CE27" i="30"/>
  <c r="BF27" i="30"/>
  <c r="BZ27" i="30"/>
  <c r="BP27" i="30"/>
  <c r="BA27" i="30"/>
  <c r="BU27" i="30"/>
  <c r="BK27" i="30"/>
  <c r="AQ27" i="30"/>
  <c r="K27" i="13"/>
  <c r="L27" i="13" s="1"/>
  <c r="J28" i="13"/>
  <c r="I29" i="13" s="1"/>
  <c r="D28" i="13"/>
  <c r="B29" i="13"/>
  <c r="C28" i="13"/>
  <c r="CL27" i="30" l="1"/>
  <c r="AM27" i="30"/>
  <c r="J29" i="13"/>
  <c r="I30" i="13" s="1"/>
  <c r="K28" i="13"/>
  <c r="L28" i="13" s="1"/>
  <c r="C29" i="13"/>
  <c r="E29" i="13" s="1"/>
  <c r="D29" i="13"/>
  <c r="B30" i="13"/>
  <c r="E28" i="13"/>
  <c r="CA27" i="30" l="1"/>
  <c r="DD27" i="30" s="1"/>
  <c r="BG27" i="30"/>
  <c r="CV27" i="30" s="1"/>
  <c r="AK27" i="30"/>
  <c r="CN27" i="30" s="1"/>
  <c r="BV27" i="30"/>
  <c r="DB27" i="30" s="1"/>
  <c r="BB27" i="30"/>
  <c r="CT27" i="30" s="1"/>
  <c r="BL27" i="30"/>
  <c r="CX27" i="30" s="1"/>
  <c r="AR27" i="30"/>
  <c r="CP27" i="30" s="1"/>
  <c r="CK27" i="30"/>
  <c r="DH27" i="30" s="1"/>
  <c r="BQ27" i="30"/>
  <c r="CZ27" i="30" s="1"/>
  <c r="AW27" i="30"/>
  <c r="CR27" i="30" s="1"/>
  <c r="CF27" i="30"/>
  <c r="DF27" i="30" s="1"/>
  <c r="D30" i="13"/>
  <c r="B31" i="13"/>
  <c r="C30" i="13"/>
  <c r="L15" i="13"/>
  <c r="K29" i="13"/>
  <c r="L29" i="13" s="1"/>
  <c r="J30" i="13"/>
  <c r="I31" i="13" s="1"/>
  <c r="AQ28" i="30" l="1"/>
  <c r="BU28" i="30"/>
  <c r="AV28" i="30"/>
  <c r="BZ28" i="30"/>
  <c r="BK28" i="30"/>
  <c r="BP28" i="30"/>
  <c r="CJ28" i="30"/>
  <c r="BF28" i="30"/>
  <c r="CE28" i="30"/>
  <c r="BA28" i="30"/>
  <c r="J31" i="13"/>
  <c r="I32" i="13" s="1"/>
  <c r="K30" i="13"/>
  <c r="L30" i="13" s="1"/>
  <c r="B32" i="13"/>
  <c r="D31" i="13"/>
  <c r="C31" i="13"/>
  <c r="E30" i="13"/>
  <c r="AM28" i="30" l="1"/>
  <c r="CL28" i="30"/>
  <c r="E31" i="13"/>
  <c r="K31" i="13"/>
  <c r="L31" i="13" s="1"/>
  <c r="J32" i="13"/>
  <c r="I33" i="13" s="1"/>
  <c r="C32" i="13"/>
  <c r="B33" i="13"/>
  <c r="D32" i="13"/>
  <c r="CA28" i="30" l="1"/>
  <c r="DD28" i="30" s="1"/>
  <c r="BG28" i="30"/>
  <c r="CV28" i="30" s="1"/>
  <c r="CK28" i="30"/>
  <c r="DH28" i="30" s="1"/>
  <c r="BQ28" i="30"/>
  <c r="CZ28" i="30" s="1"/>
  <c r="AW28" i="30"/>
  <c r="CR28" i="30" s="1"/>
  <c r="AK28" i="30"/>
  <c r="CN28" i="30" s="1"/>
  <c r="BV28" i="30"/>
  <c r="DB28" i="30" s="1"/>
  <c r="BB28" i="30"/>
  <c r="CT28" i="30" s="1"/>
  <c r="CF28" i="30"/>
  <c r="DF28" i="30" s="1"/>
  <c r="BL28" i="30"/>
  <c r="CX28" i="30" s="1"/>
  <c r="AR28" i="30"/>
  <c r="CP28" i="30" s="1"/>
  <c r="C33" i="13"/>
  <c r="B34" i="13"/>
  <c r="D33" i="13"/>
  <c r="K32" i="13"/>
  <c r="L32" i="13" s="1"/>
  <c r="J33" i="13"/>
  <c r="I34" i="13" s="1"/>
  <c r="E32" i="13"/>
  <c r="C34" i="13" l="1"/>
  <c r="B35" i="13"/>
  <c r="D34" i="13"/>
  <c r="J34" i="13"/>
  <c r="I35" i="13" s="1"/>
  <c r="K33" i="13"/>
  <c r="L33" i="13" s="1"/>
  <c r="E33" i="13"/>
  <c r="K34" i="13" l="1"/>
  <c r="L34" i="13" s="1"/>
  <c r="J35" i="13"/>
  <c r="I36" i="13" s="1"/>
  <c r="C35" i="13"/>
  <c r="Z15" i="13" s="1" a="1"/>
  <c r="Z15" i="13" s="1"/>
  <c r="D35" i="13"/>
  <c r="E34" i="13"/>
  <c r="Z24" i="13" a="1"/>
  <c r="Z24" i="13" s="1"/>
  <c r="Z18" i="13" l="1" a="1"/>
  <c r="Z18" i="13" s="1"/>
  <c r="AA18" i="13" s="1"/>
  <c r="AB18" i="13" s="1"/>
  <c r="Z29" i="13" a="1"/>
  <c r="Z29" i="13" s="1"/>
  <c r="AC29" i="13" s="1"/>
  <c r="Z20" i="13" a="1"/>
  <c r="Z20" i="13" s="1"/>
  <c r="AC20" i="13" s="1"/>
  <c r="Z31" i="13" a="1"/>
  <c r="Z31" i="13" s="1"/>
  <c r="AC31" i="13" s="1"/>
  <c r="Z32" i="13" a="1"/>
  <c r="Z32" i="13" s="1"/>
  <c r="AA32" i="13" s="1"/>
  <c r="AB32" i="13" s="1"/>
  <c r="Z25" i="13" a="1"/>
  <c r="Z25" i="13" s="1"/>
  <c r="AC25" i="13" s="1"/>
  <c r="Z23" i="13" a="1"/>
  <c r="Z23" i="13" s="1"/>
  <c r="AA23" i="13" s="1"/>
  <c r="AB23" i="13" s="1"/>
  <c r="AA15" i="13"/>
  <c r="AB15" i="13" s="1"/>
  <c r="AC15" i="13"/>
  <c r="Z21" i="13" a="1"/>
  <c r="Z21" i="13" s="1"/>
  <c r="Z22" i="13" a="1"/>
  <c r="Z22" i="13" s="1"/>
  <c r="Z12" i="13" a="1"/>
  <c r="Z12" i="13" s="1"/>
  <c r="Z26" i="13" a="1"/>
  <c r="Z26" i="13" s="1"/>
  <c r="K35" i="13"/>
  <c r="L35" i="13" s="1"/>
  <c r="J36" i="13"/>
  <c r="I37" i="13" s="1"/>
  <c r="AA24" i="13"/>
  <c r="AB24" i="13" s="1"/>
  <c r="AC24" i="13"/>
  <c r="E35" i="13"/>
  <c r="Z33" i="13" a="1"/>
  <c r="Z33" i="13" s="1"/>
  <c r="Z14" i="13" a="1"/>
  <c r="Z14" i="13" s="1"/>
  <c r="Z13" i="13" a="1"/>
  <c r="Z13" i="13" s="1"/>
  <c r="Z30" i="13" a="1"/>
  <c r="Z30" i="13" s="1"/>
  <c r="Z19" i="13" a="1"/>
  <c r="Z19" i="13" s="1"/>
  <c r="Z11" i="13" a="1"/>
  <c r="Z11" i="13" s="1"/>
  <c r="Z17" i="13" a="1"/>
  <c r="Z17" i="13" s="1"/>
  <c r="Z16" i="13" a="1"/>
  <c r="Z16" i="13" s="1"/>
  <c r="Z28" i="13" a="1"/>
  <c r="Z28" i="13" s="1"/>
  <c r="Z27" i="13" a="1"/>
  <c r="Z27" i="13" s="1"/>
  <c r="AA20" i="13" l="1"/>
  <c r="AB20" i="13" s="1"/>
  <c r="AA25" i="13"/>
  <c r="AB25" i="13" s="1"/>
  <c r="AA29" i="13"/>
  <c r="AB29" i="13" s="1"/>
  <c r="AC18" i="13"/>
  <c r="AF18" i="13" s="1"/>
  <c r="AG18" i="13" s="1"/>
  <c r="AH18" i="13" s="1"/>
  <c r="AA31" i="13"/>
  <c r="AB31" i="13" s="1"/>
  <c r="AC32" i="13"/>
  <c r="AF32" i="13" s="1"/>
  <c r="AG32" i="13" s="1"/>
  <c r="AH32" i="13" s="1"/>
  <c r="AC23" i="13"/>
  <c r="AF23" i="13" s="1"/>
  <c r="AG23" i="13" s="1"/>
  <c r="AH23" i="13" s="1"/>
  <c r="AA13" i="13"/>
  <c r="AB13" i="13" s="1"/>
  <c r="AC13" i="13"/>
  <c r="AD20" i="13"/>
  <c r="AE20" i="13" s="1"/>
  <c r="AF20" i="13"/>
  <c r="AG20" i="13" s="1"/>
  <c r="AH20" i="13" s="1"/>
  <c r="J37" i="13"/>
  <c r="I38" i="13" s="1"/>
  <c r="K36" i="13"/>
  <c r="L36" i="13" s="1"/>
  <c r="AA27" i="13"/>
  <c r="AB27" i="13" s="1"/>
  <c r="AC27" i="13"/>
  <c r="AA11" i="13"/>
  <c r="AB11" i="13" s="1"/>
  <c r="AC11" i="13"/>
  <c r="AA21" i="13"/>
  <c r="AB21" i="13" s="1"/>
  <c r="AC21" i="13"/>
  <c r="AA28" i="13"/>
  <c r="AB28" i="13" s="1"/>
  <c r="AC28" i="13"/>
  <c r="AC19" i="13"/>
  <c r="AA19" i="13"/>
  <c r="AB19" i="13" s="1"/>
  <c r="AC33" i="13"/>
  <c r="AA33" i="13"/>
  <c r="AB33" i="13" s="1"/>
  <c r="AF31" i="13"/>
  <c r="AG31" i="13" s="1"/>
  <c r="AH31" i="13" s="1"/>
  <c r="AD31" i="13"/>
  <c r="AE31" i="13" s="1"/>
  <c r="AD29" i="13"/>
  <c r="AE29" i="13" s="1"/>
  <c r="AF29" i="13"/>
  <c r="AG29" i="13" s="1"/>
  <c r="AH29" i="13" s="1"/>
  <c r="AF24" i="13"/>
  <c r="AG24" i="13" s="1"/>
  <c r="AH24" i="13" s="1"/>
  <c r="AD24" i="13"/>
  <c r="AE24" i="13" s="1"/>
  <c r="AA26" i="13"/>
  <c r="AB26" i="13" s="1"/>
  <c r="AC26" i="13"/>
  <c r="AD15" i="13"/>
  <c r="AE15" i="13" s="1"/>
  <c r="AF15" i="13"/>
  <c r="AG15" i="13" s="1"/>
  <c r="AH15" i="13" s="1"/>
  <c r="AA17" i="13"/>
  <c r="AB17" i="13" s="1"/>
  <c r="AC17" i="13"/>
  <c r="AA22" i="13"/>
  <c r="AB22" i="13" s="1"/>
  <c r="AC22" i="13"/>
  <c r="AF25" i="13"/>
  <c r="AG25" i="13" s="1"/>
  <c r="AH25" i="13" s="1"/>
  <c r="AD25" i="13"/>
  <c r="AE25" i="13" s="1"/>
  <c r="AA14" i="13"/>
  <c r="AB14" i="13" s="1"/>
  <c r="AC14" i="13"/>
  <c r="AA16" i="13"/>
  <c r="AB16" i="13" s="1"/>
  <c r="AC16" i="13"/>
  <c r="AA30" i="13"/>
  <c r="AB30" i="13" s="1"/>
  <c r="AC30" i="13"/>
  <c r="AA12" i="13"/>
  <c r="AB12" i="13" s="1"/>
  <c r="AC12" i="13"/>
  <c r="AD18" i="13" l="1"/>
  <c r="AE18" i="13" s="1"/>
  <c r="AD32" i="13"/>
  <c r="AE32" i="13" s="1"/>
  <c r="AD23" i="13"/>
  <c r="AE23" i="13" s="1"/>
  <c r="AF12" i="13"/>
  <c r="AG12" i="13" s="1"/>
  <c r="AH12" i="13" s="1"/>
  <c r="AD12" i="13"/>
  <c r="AE12" i="13" s="1"/>
  <c r="AF16" i="13"/>
  <c r="AG16" i="13" s="1"/>
  <c r="AH16" i="13" s="1"/>
  <c r="AD16" i="13"/>
  <c r="AE16" i="13" s="1"/>
  <c r="AF19" i="13"/>
  <c r="AG19" i="13" s="1"/>
  <c r="AH19" i="13" s="1"/>
  <c r="AD19" i="13"/>
  <c r="AE19" i="13" s="1"/>
  <c r="AF30" i="13"/>
  <c r="AG30" i="13" s="1"/>
  <c r="AH30" i="13" s="1"/>
  <c r="AD30" i="13"/>
  <c r="AE30" i="13" s="1"/>
  <c r="AF14" i="13"/>
  <c r="AG14" i="13" s="1"/>
  <c r="AH14" i="13" s="1"/>
  <c r="AD14" i="13"/>
  <c r="AE14" i="13" s="1"/>
  <c r="AF22" i="13"/>
  <c r="AG22" i="13" s="1"/>
  <c r="AH22" i="13" s="1"/>
  <c r="AD22" i="13"/>
  <c r="AE22" i="13" s="1"/>
  <c r="AF26" i="13"/>
  <c r="AG26" i="13" s="1"/>
  <c r="AH26" i="13" s="1"/>
  <c r="AD26" i="13"/>
  <c r="AE26" i="13" s="1"/>
  <c r="AF28" i="13"/>
  <c r="AG28" i="13" s="1"/>
  <c r="AH28" i="13" s="1"/>
  <c r="AD28" i="13"/>
  <c r="AE28" i="13" s="1"/>
  <c r="AF11" i="13"/>
  <c r="AG11" i="13" s="1"/>
  <c r="AH11" i="13" s="1"/>
  <c r="AD11" i="13"/>
  <c r="AE11" i="13" s="1"/>
  <c r="AF13" i="13"/>
  <c r="AG13" i="13" s="1"/>
  <c r="AH13" i="13" s="1"/>
  <c r="AD13" i="13"/>
  <c r="AE13" i="13" s="1"/>
  <c r="AD17" i="13"/>
  <c r="AE17" i="13" s="1"/>
  <c r="AF17" i="13"/>
  <c r="AG17" i="13" s="1"/>
  <c r="AH17" i="13" s="1"/>
  <c r="AF21" i="13"/>
  <c r="AG21" i="13" s="1"/>
  <c r="AH21" i="13" s="1"/>
  <c r="AD21" i="13"/>
  <c r="AE21" i="13" s="1"/>
  <c r="AF27" i="13"/>
  <c r="AG27" i="13" s="1"/>
  <c r="AH27" i="13" s="1"/>
  <c r="AD27" i="13"/>
  <c r="AE27" i="13" s="1"/>
  <c r="AF33" i="13"/>
  <c r="AG33" i="13" s="1"/>
  <c r="AH33" i="13" s="1"/>
  <c r="AD33" i="13"/>
  <c r="AE33" i="13" s="1"/>
  <c r="J38" i="13"/>
  <c r="I39" i="13" s="1"/>
  <c r="K37" i="13"/>
  <c r="L37" i="13" s="1"/>
  <c r="J39" i="13" l="1"/>
  <c r="I40" i="13" s="1"/>
  <c r="K38" i="13"/>
  <c r="L38" i="13" s="1"/>
  <c r="K39" i="13" l="1"/>
  <c r="L39" i="13" s="1"/>
  <c r="J40" i="13"/>
  <c r="I41" i="13" s="1"/>
  <c r="K41" i="13" l="1"/>
  <c r="L41" i="13" s="1"/>
  <c r="K40" i="13"/>
  <c r="L40" i="13" s="1"/>
  <c r="J41" i="13"/>
  <c r="I24" i="6" l="1"/>
  <c r="J24" i="6" s="1"/>
  <c r="E12" i="6" l="1"/>
  <c r="H12" i="6" s="1"/>
  <c r="I25" i="6" l="1"/>
  <c r="J25" i="6" s="1"/>
  <c r="I26" i="6" l="1"/>
  <c r="J26" i="6" s="1"/>
  <c r="D12" i="6" l="1"/>
  <c r="F12" i="6"/>
  <c r="AI24" i="6" l="1"/>
  <c r="AI28" i="6"/>
  <c r="AI31" i="6"/>
  <c r="AI37" i="6"/>
  <c r="AI42" i="6"/>
  <c r="AI48" i="6"/>
  <c r="AI54" i="6"/>
  <c r="AI58" i="6"/>
  <c r="AI62" i="6"/>
  <c r="AI67" i="6"/>
  <c r="AI47" i="6"/>
  <c r="AI27" i="6"/>
  <c r="AI30" i="6"/>
  <c r="AI46" i="6"/>
  <c r="AI61" i="6"/>
  <c r="AI25" i="6"/>
  <c r="AI29" i="6"/>
  <c r="AI33" i="6"/>
  <c r="AI38" i="6"/>
  <c r="AI44" i="6"/>
  <c r="AI49" i="6"/>
  <c r="AI55" i="6"/>
  <c r="AI59" i="6"/>
  <c r="AI63" i="6"/>
  <c r="AI68" i="6"/>
  <c r="AI36" i="6"/>
  <c r="AI52" i="6"/>
  <c r="AI66" i="6"/>
  <c r="AI26" i="6"/>
  <c r="AI34" i="6"/>
  <c r="AI40" i="6"/>
  <c r="AI45" i="6"/>
  <c r="AI51" i="6"/>
  <c r="AI56" i="6"/>
  <c r="AI60" i="6"/>
  <c r="AI65" i="6"/>
  <c r="AI69" i="6"/>
  <c r="AI41" i="6"/>
  <c r="AI57" i="6"/>
  <c r="AI70" i="6"/>
  <c r="AI50" i="6"/>
  <c r="AI35" i="6"/>
  <c r="AI64" i="6"/>
  <c r="AI39" i="6"/>
  <c r="AI43" i="6"/>
  <c r="AI32" i="6"/>
  <c r="AI53" i="6"/>
  <c r="AI23" i="6"/>
  <c r="DL103" i="6"/>
  <c r="DL100" i="6"/>
  <c r="AI22" i="6"/>
  <c r="AI21" i="6"/>
  <c r="DL116" i="6"/>
  <c r="DL118" i="6"/>
  <c r="DL89" i="6"/>
  <c r="DL119" i="6"/>
  <c r="DL115" i="6"/>
  <c r="DL35" i="6"/>
  <c r="P63" i="6"/>
  <c r="V63" i="6" s="1"/>
  <c r="P69" i="6"/>
  <c r="V69" i="6" s="1"/>
  <c r="P57" i="6"/>
  <c r="V57" i="6" s="1"/>
  <c r="Q66" i="6"/>
  <c r="Q62" i="6"/>
  <c r="Q64" i="6"/>
  <c r="Q52" i="6"/>
  <c r="Q54" i="6"/>
  <c r="P55" i="6"/>
  <c r="V55" i="6" s="1"/>
  <c r="P50" i="6"/>
  <c r="V50" i="6" s="1"/>
  <c r="P60" i="6"/>
  <c r="V60" i="6" s="1"/>
  <c r="P62" i="6"/>
  <c r="V62" i="6" s="1"/>
  <c r="P64" i="6"/>
  <c r="V64" i="6" s="1"/>
  <c r="P52" i="6"/>
  <c r="V52" i="6" s="1"/>
  <c r="Q57" i="6"/>
  <c r="Q50" i="6"/>
  <c r="Q60" i="6"/>
  <c r="Q49" i="6"/>
  <c r="Q61" i="6"/>
  <c r="P54" i="6"/>
  <c r="V54" i="6" s="1"/>
  <c r="P70" i="6"/>
  <c r="V70" i="6" s="1"/>
  <c r="P68" i="6"/>
  <c r="V68" i="6" s="1"/>
  <c r="P59" i="6"/>
  <c r="V59" i="6" s="1"/>
  <c r="Q58" i="6"/>
  <c r="Q53" i="6"/>
  <c r="Q56" i="6"/>
  <c r="Q65" i="6"/>
  <c r="Q68" i="6"/>
  <c r="Q51" i="6"/>
  <c r="Q67" i="6"/>
  <c r="P53" i="6"/>
  <c r="V53" i="6" s="1"/>
  <c r="P67" i="6"/>
  <c r="V67" i="6" s="1"/>
  <c r="P66" i="6"/>
  <c r="V66" i="6" s="1"/>
  <c r="P65" i="6"/>
  <c r="V65" i="6" s="1"/>
  <c r="P58" i="6"/>
  <c r="V58" i="6" s="1"/>
  <c r="P51" i="6"/>
  <c r="V51" i="6" s="1"/>
  <c r="Q69" i="6"/>
  <c r="Q55" i="6"/>
  <c r="Q63" i="6"/>
  <c r="Q70" i="6"/>
  <c r="Q59" i="6"/>
  <c r="P61" i="6"/>
  <c r="V61" i="6" s="1"/>
  <c r="P49" i="6"/>
  <c r="V49" i="6" s="1"/>
  <c r="P56" i="6"/>
  <c r="V56" i="6" s="1"/>
  <c r="DL26" i="6"/>
  <c r="DL46" i="6"/>
  <c r="DL93" i="6"/>
  <c r="DL70" i="6"/>
  <c r="DL42" i="6"/>
  <c r="DL64" i="6"/>
  <c r="DL43" i="6"/>
  <c r="R49" i="6"/>
  <c r="T49" i="6" s="1"/>
  <c r="R57" i="6"/>
  <c r="S57" i="6" s="1"/>
  <c r="DL32" i="6"/>
  <c r="DL29" i="6"/>
  <c r="DL108" i="6"/>
  <c r="Q48" i="6" s="1"/>
  <c r="R70" i="6"/>
  <c r="T70" i="6" s="1"/>
  <c r="R63" i="6"/>
  <c r="S63" i="6" s="1"/>
  <c r="R58" i="6"/>
  <c r="T58" i="6" s="1"/>
  <c r="DL47" i="6"/>
  <c r="DL34" i="6"/>
  <c r="DL25" i="6"/>
  <c r="Q32" i="6" s="1"/>
  <c r="DL82" i="6"/>
  <c r="Q25" i="6" s="1"/>
  <c r="DL77" i="6"/>
  <c r="R64" i="6"/>
  <c r="S64" i="6" s="1"/>
  <c r="R61" i="6"/>
  <c r="T61" i="6" s="1"/>
  <c r="R65" i="6"/>
  <c r="T65" i="6" s="1"/>
  <c r="DL80" i="6"/>
  <c r="DL31" i="6"/>
  <c r="DL73" i="6"/>
  <c r="DL40" i="6"/>
  <c r="Q31" i="6" s="1"/>
  <c r="DL39" i="6"/>
  <c r="DL83" i="6"/>
  <c r="DL68" i="6"/>
  <c r="Q34" i="6" s="1"/>
  <c r="DL79" i="6"/>
  <c r="DL78" i="6"/>
  <c r="DL66" i="6"/>
  <c r="DL87" i="6"/>
  <c r="DL109" i="6"/>
  <c r="R59" i="6"/>
  <c r="T59" i="6" s="1"/>
  <c r="R66" i="6"/>
  <c r="S66" i="6" s="1"/>
  <c r="DL106" i="6"/>
  <c r="DL41" i="6"/>
  <c r="DL36" i="6"/>
  <c r="DL105" i="6"/>
  <c r="DL59" i="6"/>
  <c r="Q23" i="6" s="1"/>
  <c r="DL110" i="6"/>
  <c r="DL30" i="6"/>
  <c r="DL65" i="6"/>
  <c r="R67" i="6"/>
  <c r="T67" i="6" s="1"/>
  <c r="R62" i="6"/>
  <c r="T62" i="6" s="1"/>
  <c r="DL101" i="6"/>
  <c r="DL28" i="6"/>
  <c r="Q28" i="6" s="1"/>
  <c r="R69" i="6"/>
  <c r="S69" i="6" s="1"/>
  <c r="DL95" i="6"/>
  <c r="DL74" i="6"/>
  <c r="Q45" i="6" s="1"/>
  <c r="DL114" i="6"/>
  <c r="DL99" i="6"/>
  <c r="DL44" i="6"/>
  <c r="Q26" i="6" s="1"/>
  <c r="DL63" i="6"/>
  <c r="DL45" i="6"/>
  <c r="DL71" i="6"/>
  <c r="DL98" i="6"/>
  <c r="DL61" i="6"/>
  <c r="DL88" i="6"/>
  <c r="DL33" i="6"/>
  <c r="DL62" i="6"/>
  <c r="R51" i="6"/>
  <c r="T51" i="6" s="1"/>
  <c r="DL96" i="6"/>
  <c r="DL56" i="6"/>
  <c r="DL23" i="6"/>
  <c r="DL107" i="6"/>
  <c r="DL102" i="6"/>
  <c r="R52" i="6"/>
  <c r="T52" i="6" s="1"/>
  <c r="DL22" i="6"/>
  <c r="R55" i="6"/>
  <c r="S55" i="6" s="1"/>
  <c r="DL60" i="6"/>
  <c r="R56" i="6"/>
  <c r="S56" i="6" s="1"/>
  <c r="DL94" i="6"/>
  <c r="DL97" i="6"/>
  <c r="DL48" i="6"/>
  <c r="DL90" i="6"/>
  <c r="DL54" i="6"/>
  <c r="R50" i="6"/>
  <c r="T50" i="6" s="1"/>
  <c r="DL24" i="6"/>
  <c r="DL57" i="6"/>
  <c r="DL51" i="6"/>
  <c r="DL75" i="6"/>
  <c r="DL27" i="6"/>
  <c r="DL49" i="6"/>
  <c r="DL58" i="6"/>
  <c r="Q47" i="6" s="1"/>
  <c r="R68" i="6"/>
  <c r="T68" i="6" s="1"/>
  <c r="DL111" i="6"/>
  <c r="DL67" i="6"/>
  <c r="DL38" i="6"/>
  <c r="DL50" i="6"/>
  <c r="DL37" i="6"/>
  <c r="Q29" i="6" s="1"/>
  <c r="DL52" i="6"/>
  <c r="Q30" i="6" s="1"/>
  <c r="DL69" i="6"/>
  <c r="R60" i="6"/>
  <c r="T60" i="6" s="1"/>
  <c r="R54" i="6"/>
  <c r="T54" i="6" s="1"/>
  <c r="DL53" i="6"/>
  <c r="R53" i="6"/>
  <c r="S53" i="6" s="1"/>
  <c r="DL91" i="6"/>
  <c r="Q33" i="6" s="1"/>
  <c r="DL55" i="6"/>
  <c r="Q27" i="6" s="1"/>
  <c r="DL76" i="6"/>
  <c r="DL113" i="6"/>
  <c r="Q22" i="6" s="1"/>
  <c r="DL112" i="6"/>
  <c r="DL92" i="6"/>
  <c r="DL84" i="6"/>
  <c r="CM55" i="6"/>
  <c r="DL117" i="6"/>
  <c r="CM54" i="6"/>
  <c r="CM53" i="6"/>
  <c r="CM52" i="6"/>
  <c r="CM51" i="6"/>
  <c r="CM50" i="6"/>
  <c r="CM49" i="6"/>
  <c r="CM48" i="6"/>
  <c r="CM47" i="6"/>
  <c r="CM46" i="6"/>
  <c r="CM45" i="6"/>
  <c r="CM44" i="6"/>
  <c r="CM43" i="6"/>
  <c r="CM42" i="6"/>
  <c r="CM41" i="6"/>
  <c r="CM40" i="6"/>
  <c r="CM39" i="6"/>
  <c r="CM38" i="6"/>
  <c r="CM37" i="6"/>
  <c r="CM36" i="6"/>
  <c r="CM35" i="6"/>
  <c r="CM34" i="6"/>
  <c r="CM33" i="6"/>
  <c r="CM32" i="6"/>
  <c r="CM31" i="6"/>
  <c r="CM30" i="6"/>
  <c r="CM29" i="6"/>
  <c r="CM28" i="6"/>
  <c r="CM27" i="6"/>
  <c r="CM26" i="6"/>
  <c r="CM25" i="6"/>
  <c r="CM24" i="6"/>
  <c r="CM23" i="6"/>
  <c r="CM22" i="6"/>
  <c r="CM56" i="6"/>
  <c r="CM57" i="6"/>
  <c r="CM58" i="6"/>
  <c r="CM59" i="6"/>
  <c r="CM60" i="6"/>
  <c r="CM61" i="6"/>
  <c r="CM62" i="6"/>
  <c r="CM63" i="6"/>
  <c r="CM64" i="6"/>
  <c r="CM65" i="6"/>
  <c r="CM66" i="6"/>
  <c r="CM69" i="6"/>
  <c r="CM68" i="6"/>
  <c r="CM67" i="6"/>
  <c r="CM70" i="6"/>
  <c r="CM21" i="6"/>
  <c r="Q40" i="6" l="1"/>
  <c r="Q46" i="6"/>
  <c r="Q41" i="6"/>
  <c r="Q44" i="6"/>
  <c r="Q35" i="6"/>
  <c r="Q38" i="6"/>
  <c r="Q37" i="6"/>
  <c r="Q39" i="6"/>
  <c r="Q36" i="6"/>
  <c r="Q42" i="6"/>
  <c r="Q43" i="6"/>
  <c r="S59" i="6"/>
  <c r="S54" i="6"/>
  <c r="S70" i="6"/>
  <c r="S58" i="6"/>
  <c r="T57" i="6"/>
  <c r="T55" i="6"/>
  <c r="S51" i="6"/>
  <c r="S67" i="6"/>
  <c r="T64" i="6"/>
  <c r="T63" i="6"/>
  <c r="DK117" i="6"/>
  <c r="DK92" i="6"/>
  <c r="DK113" i="6"/>
  <c r="DK75" i="6"/>
  <c r="DM75" i="6" s="1"/>
  <c r="DN75" i="6" s="1"/>
  <c r="DK94" i="6"/>
  <c r="DM94" i="6" s="1"/>
  <c r="DN94" i="6" s="1"/>
  <c r="DK88" i="6"/>
  <c r="DM88" i="6" s="1"/>
  <c r="DN88" i="6" s="1"/>
  <c r="DK99" i="6"/>
  <c r="DM99" i="6" s="1"/>
  <c r="DN99" i="6" s="1"/>
  <c r="DK101" i="6"/>
  <c r="DM101" i="6" s="1"/>
  <c r="DN101" i="6" s="1"/>
  <c r="DK109" i="6"/>
  <c r="DM109" i="6" s="1"/>
  <c r="DN109" i="6" s="1"/>
  <c r="DK79" i="6"/>
  <c r="DM79" i="6" s="1"/>
  <c r="DN79" i="6" s="1"/>
  <c r="DK77" i="6"/>
  <c r="DM77" i="6" s="1"/>
  <c r="DN77" i="6" s="1"/>
  <c r="DK115" i="6"/>
  <c r="DM115" i="6" s="1"/>
  <c r="DN115" i="6" s="1"/>
  <c r="DK116" i="6"/>
  <c r="DM116" i="6" s="1"/>
  <c r="DN116" i="6" s="1"/>
  <c r="DK76" i="6"/>
  <c r="DK102" i="6"/>
  <c r="DM102" i="6" s="1"/>
  <c r="DN102" i="6" s="1"/>
  <c r="DK98" i="6"/>
  <c r="DM98" i="6" s="1"/>
  <c r="DN98" i="6" s="1"/>
  <c r="DK110" i="6"/>
  <c r="DM110" i="6" s="1"/>
  <c r="DN110" i="6" s="1"/>
  <c r="DK87" i="6"/>
  <c r="DM87" i="6" s="1"/>
  <c r="DN87" i="6" s="1"/>
  <c r="DK83" i="6"/>
  <c r="DM83" i="6" s="1"/>
  <c r="DN83" i="6" s="1"/>
  <c r="DK82" i="6"/>
  <c r="DK119" i="6"/>
  <c r="DM119" i="6" s="1"/>
  <c r="DN119" i="6" s="1"/>
  <c r="DK100" i="6"/>
  <c r="DM100" i="6" s="1"/>
  <c r="DN100" i="6" s="1"/>
  <c r="DK91" i="6"/>
  <c r="DK90" i="6"/>
  <c r="DM90" i="6" s="1"/>
  <c r="DN90" i="6" s="1"/>
  <c r="DK107" i="6"/>
  <c r="DM107" i="6" s="1"/>
  <c r="DN107" i="6" s="1"/>
  <c r="DK74" i="6"/>
  <c r="DK105" i="6"/>
  <c r="DM105" i="6" s="1"/>
  <c r="DN105" i="6" s="1"/>
  <c r="DK73" i="6"/>
  <c r="DM73" i="6" s="1"/>
  <c r="DN73" i="6" s="1"/>
  <c r="DK108" i="6"/>
  <c r="DK89" i="6"/>
  <c r="DM89" i="6" s="1"/>
  <c r="DN89" i="6" s="1"/>
  <c r="DK103" i="6"/>
  <c r="DM103" i="6" s="1"/>
  <c r="DN103" i="6" s="1"/>
  <c r="DK111" i="6"/>
  <c r="DM111" i="6" s="1"/>
  <c r="DN111" i="6" s="1"/>
  <c r="DK93" i="6"/>
  <c r="DM93" i="6" s="1"/>
  <c r="DN93" i="6" s="1"/>
  <c r="BA21" i="6"/>
  <c r="AQ21" i="6"/>
  <c r="CJ24" i="6"/>
  <c r="BF24" i="6"/>
  <c r="DK97" i="6"/>
  <c r="DM97" i="6" s="1"/>
  <c r="DN97" i="6" s="1"/>
  <c r="DK106" i="6"/>
  <c r="DM106" i="6" s="1"/>
  <c r="DN106" i="6" s="1"/>
  <c r="DK118" i="6"/>
  <c r="DM118" i="6" s="1"/>
  <c r="DN118" i="6" s="1"/>
  <c r="CE21" i="6"/>
  <c r="BZ21" i="6"/>
  <c r="BZ24" i="6"/>
  <c r="BP24" i="6"/>
  <c r="BK24" i="6"/>
  <c r="DK84" i="6"/>
  <c r="DK96" i="6"/>
  <c r="DM96" i="6" s="1"/>
  <c r="DN96" i="6" s="1"/>
  <c r="DK78" i="6"/>
  <c r="DM78" i="6" s="1"/>
  <c r="DN78" i="6" s="1"/>
  <c r="BK21" i="6"/>
  <c r="BF21" i="6"/>
  <c r="BU21" i="6"/>
  <c r="AQ24" i="6"/>
  <c r="BA24" i="6"/>
  <c r="CE24" i="6"/>
  <c r="DK112" i="6"/>
  <c r="DK71" i="6"/>
  <c r="DM71" i="6" s="1"/>
  <c r="DN71" i="6" s="1"/>
  <c r="DK80" i="6"/>
  <c r="DM80" i="6" s="1"/>
  <c r="DN80" i="6" s="1"/>
  <c r="CJ21" i="6"/>
  <c r="BP21" i="6"/>
  <c r="AV21" i="6"/>
  <c r="AV24" i="6"/>
  <c r="BU24" i="6"/>
  <c r="DK59" i="6"/>
  <c r="DK28" i="6"/>
  <c r="DK35" i="6"/>
  <c r="DM35" i="6" s="1"/>
  <c r="DN35" i="6" s="1"/>
  <c r="DK26" i="6"/>
  <c r="DM26" i="6" s="1"/>
  <c r="DN26" i="6" s="1"/>
  <c r="DK70" i="6"/>
  <c r="DM70" i="6" s="1"/>
  <c r="DN70" i="6" s="1"/>
  <c r="DK42" i="6"/>
  <c r="DM42" i="6" s="1"/>
  <c r="DN42" i="6" s="1"/>
  <c r="DK64" i="6"/>
  <c r="DM64" i="6" s="1"/>
  <c r="DN64" i="6" s="1"/>
  <c r="DK43" i="6"/>
  <c r="DM43" i="6" s="1"/>
  <c r="DN43" i="6" s="1"/>
  <c r="DK32" i="6"/>
  <c r="DM32" i="6" s="1"/>
  <c r="DN32" i="6" s="1"/>
  <c r="DK29" i="6"/>
  <c r="DM29" i="6" s="1"/>
  <c r="DN29" i="6" s="1"/>
  <c r="DK41" i="6"/>
  <c r="DM41" i="6" s="1"/>
  <c r="DN41" i="6" s="1"/>
  <c r="DK36" i="6"/>
  <c r="DM36" i="6" s="1"/>
  <c r="DN36" i="6" s="1"/>
  <c r="DK65" i="6"/>
  <c r="DK46" i="6"/>
  <c r="DM46" i="6" s="1"/>
  <c r="DN46" i="6" s="1"/>
  <c r="DK39" i="6"/>
  <c r="DM39" i="6" s="1"/>
  <c r="DN39" i="6" s="1"/>
  <c r="DK68" i="6"/>
  <c r="DK66" i="6"/>
  <c r="DM66" i="6" s="1"/>
  <c r="DN66" i="6" s="1"/>
  <c r="DK47" i="6"/>
  <c r="DM47" i="6" s="1"/>
  <c r="DN47" i="6" s="1"/>
  <c r="DK34" i="6"/>
  <c r="DM34" i="6" s="1"/>
  <c r="DN34" i="6" s="1"/>
  <c r="DK25" i="6"/>
  <c r="DK31" i="6"/>
  <c r="DM31" i="6" s="1"/>
  <c r="DN31" i="6" s="1"/>
  <c r="DK40" i="6"/>
  <c r="DK44" i="6"/>
  <c r="DK63" i="6"/>
  <c r="DK45" i="6"/>
  <c r="DM45" i="6" s="1"/>
  <c r="DN45" i="6" s="1"/>
  <c r="DK33" i="6"/>
  <c r="DM33" i="6" s="1"/>
  <c r="DN33" i="6" s="1"/>
  <c r="DK62" i="6"/>
  <c r="DM62" i="6" s="1"/>
  <c r="DN62" i="6" s="1"/>
  <c r="DK48" i="6"/>
  <c r="DM48" i="6" s="1"/>
  <c r="DN48" i="6" s="1"/>
  <c r="DK54" i="6"/>
  <c r="DK24" i="6"/>
  <c r="DM24" i="6" s="1"/>
  <c r="DN24" i="6" s="1"/>
  <c r="DK30" i="6"/>
  <c r="DK61" i="6"/>
  <c r="DM61" i="6" s="1"/>
  <c r="DN61" i="6" s="1"/>
  <c r="DK22" i="6"/>
  <c r="DM22" i="6" s="1"/>
  <c r="DN22" i="6" s="1"/>
  <c r="DK27" i="6"/>
  <c r="DM27" i="6" s="1"/>
  <c r="DN27" i="6" s="1"/>
  <c r="DK49" i="6"/>
  <c r="DM49" i="6" s="1"/>
  <c r="DN49" i="6" s="1"/>
  <c r="DK58" i="6"/>
  <c r="DK51" i="6"/>
  <c r="DM51" i="6" s="1"/>
  <c r="DN51" i="6" s="1"/>
  <c r="DK53" i="6"/>
  <c r="DK23" i="6"/>
  <c r="DM23" i="6" s="1"/>
  <c r="DN23" i="6" s="1"/>
  <c r="DK67" i="6"/>
  <c r="DM67" i="6" s="1"/>
  <c r="DN67" i="6" s="1"/>
  <c r="DK38" i="6"/>
  <c r="DM38" i="6" s="1"/>
  <c r="DN38" i="6" s="1"/>
  <c r="DK50" i="6"/>
  <c r="DM50" i="6" s="1"/>
  <c r="DN50" i="6" s="1"/>
  <c r="DK69" i="6"/>
  <c r="DM69" i="6" s="1"/>
  <c r="DN69" i="6" s="1"/>
  <c r="DK56" i="6"/>
  <c r="DM56" i="6" s="1"/>
  <c r="DN56" i="6" s="1"/>
  <c r="DK60" i="6"/>
  <c r="DM60" i="6" s="1"/>
  <c r="DN60" i="6" s="1"/>
  <c r="DK37" i="6"/>
  <c r="DK52" i="6"/>
  <c r="DK55" i="6"/>
  <c r="DK21" i="6"/>
  <c r="S50" i="6"/>
  <c r="S52" i="6"/>
  <c r="T53" i="6"/>
  <c r="S60" i="6"/>
  <c r="S68" i="6"/>
  <c r="T56" i="6"/>
  <c r="T69" i="6"/>
  <c r="S62" i="6"/>
  <c r="T66" i="6"/>
  <c r="S65" i="6"/>
  <c r="S61" i="6"/>
  <c r="S49" i="6"/>
  <c r="DM58" i="6" l="1"/>
  <c r="P47" i="6"/>
  <c r="V47" i="6" s="1"/>
  <c r="DM108" i="6"/>
  <c r="P48" i="6"/>
  <c r="V48" i="6" s="1"/>
  <c r="P30" i="6"/>
  <c r="DM52" i="6"/>
  <c r="I40" i="6" s="1"/>
  <c r="J40" i="6" s="1"/>
  <c r="K40" i="6" s="1"/>
  <c r="DM63" i="6"/>
  <c r="P37" i="6"/>
  <c r="P32" i="6"/>
  <c r="DM25" i="6"/>
  <c r="P34" i="6"/>
  <c r="DM68" i="6"/>
  <c r="P23" i="6"/>
  <c r="DM59" i="6"/>
  <c r="P44" i="6"/>
  <c r="DM112" i="6"/>
  <c r="P46" i="6"/>
  <c r="DM84" i="6"/>
  <c r="P29" i="6"/>
  <c r="DM37" i="6"/>
  <c r="I39" i="6" s="1"/>
  <c r="J39" i="6" s="1"/>
  <c r="K39" i="6" s="1"/>
  <c r="P42" i="6"/>
  <c r="DM53" i="6"/>
  <c r="DM30" i="6"/>
  <c r="P39" i="6"/>
  <c r="DM44" i="6"/>
  <c r="P26" i="6"/>
  <c r="AM24" i="6"/>
  <c r="CL24" i="6"/>
  <c r="AM21" i="6"/>
  <c r="CL21" i="6"/>
  <c r="DM82" i="6"/>
  <c r="P25" i="6"/>
  <c r="P36" i="6"/>
  <c r="DM76" i="6"/>
  <c r="P22" i="6"/>
  <c r="DM113" i="6"/>
  <c r="P31" i="6"/>
  <c r="DM40" i="6"/>
  <c r="P38" i="6"/>
  <c r="DM65" i="6"/>
  <c r="P35" i="6"/>
  <c r="DM92" i="6"/>
  <c r="P27" i="6"/>
  <c r="DM55" i="6"/>
  <c r="I37" i="6" s="1"/>
  <c r="J37" i="6" s="1"/>
  <c r="P40" i="6"/>
  <c r="P43" i="6"/>
  <c r="DM54" i="6"/>
  <c r="P28" i="6"/>
  <c r="DM28" i="6"/>
  <c r="I38" i="6" s="1"/>
  <c r="J38" i="6" s="1"/>
  <c r="K38" i="6" s="1"/>
  <c r="P45" i="6"/>
  <c r="DM74" i="6"/>
  <c r="DM91" i="6"/>
  <c r="P33" i="6"/>
  <c r="DM117" i="6"/>
  <c r="DN108" i="6" l="1"/>
  <c r="R48" i="6"/>
  <c r="DN58" i="6"/>
  <c r="R47" i="6"/>
  <c r="K37" i="6"/>
  <c r="F14" i="6"/>
  <c r="I27" i="6"/>
  <c r="J27" i="6" s="1"/>
  <c r="I32" i="6"/>
  <c r="J32" i="6" s="1"/>
  <c r="I21" i="6"/>
  <c r="J21" i="6" s="1"/>
  <c r="I33" i="6"/>
  <c r="J33" i="6" s="1"/>
  <c r="K33" i="6" s="1"/>
  <c r="I31" i="6"/>
  <c r="J31" i="6" s="1"/>
  <c r="K31" i="6" s="1"/>
  <c r="I22" i="6"/>
  <c r="J22" i="6" s="1"/>
  <c r="I28" i="6"/>
  <c r="J28" i="6" s="1"/>
  <c r="K28" i="6" s="1"/>
  <c r="I34" i="6"/>
  <c r="J34" i="6" s="1"/>
  <c r="K34" i="6" s="1"/>
  <c r="I30" i="6"/>
  <c r="J30" i="6" s="1"/>
  <c r="I36" i="6"/>
  <c r="J36" i="6" s="1"/>
  <c r="K36" i="6" s="1"/>
  <c r="I57" i="6"/>
  <c r="J57" i="6" s="1"/>
  <c r="K57" i="6" s="1"/>
  <c r="I50" i="6"/>
  <c r="J50" i="6" s="1"/>
  <c r="K50" i="6" s="1"/>
  <c r="DN91" i="6"/>
  <c r="R33" i="6"/>
  <c r="BQ21" i="6"/>
  <c r="CZ21" i="6" s="1"/>
  <c r="AW21" i="6"/>
  <c r="CR21" i="6" s="1"/>
  <c r="CK21" i="6"/>
  <c r="DH21" i="6" s="1"/>
  <c r="BB21" i="6"/>
  <c r="CT21" i="6" s="1"/>
  <c r="CF21" i="6"/>
  <c r="DF21" i="6" s="1"/>
  <c r="BV21" i="6"/>
  <c r="DB21" i="6" s="1"/>
  <c r="BG21" i="6"/>
  <c r="CV21" i="6" s="1"/>
  <c r="BL21" i="6"/>
  <c r="CX21" i="6" s="1"/>
  <c r="CA21" i="6"/>
  <c r="DD21" i="6" s="1"/>
  <c r="AK21" i="6"/>
  <c r="CN21" i="6" s="1"/>
  <c r="AR21" i="6"/>
  <c r="CP21" i="6" s="1"/>
  <c r="I67" i="6"/>
  <c r="J67" i="6" s="1"/>
  <c r="K67" i="6" s="1"/>
  <c r="DN117" i="6"/>
  <c r="DN74" i="6"/>
  <c r="R45" i="6"/>
  <c r="I69" i="6"/>
  <c r="J69" i="6" s="1"/>
  <c r="K69" i="6" s="1"/>
  <c r="DN54" i="6"/>
  <c r="R43" i="6"/>
  <c r="R27" i="6"/>
  <c r="DN55" i="6"/>
  <c r="I64" i="6"/>
  <c r="J64" i="6" s="1"/>
  <c r="K64" i="6" s="1"/>
  <c r="R38" i="6"/>
  <c r="DN65" i="6"/>
  <c r="I59" i="6"/>
  <c r="J59" i="6" s="1"/>
  <c r="K59" i="6" s="1"/>
  <c r="I42" i="6"/>
  <c r="J42" i="6" s="1"/>
  <c r="K42" i="6" s="1"/>
  <c r="R26" i="6"/>
  <c r="DN44" i="6"/>
  <c r="I63" i="6"/>
  <c r="J63" i="6" s="1"/>
  <c r="DN63" i="6"/>
  <c r="R37" i="6"/>
  <c r="I53" i="6"/>
  <c r="J53" i="6" s="1"/>
  <c r="K53" i="6" s="1"/>
  <c r="I62" i="6"/>
  <c r="J62" i="6" s="1"/>
  <c r="K62" i="6" s="1"/>
  <c r="R36" i="6"/>
  <c r="DN76" i="6"/>
  <c r="I58" i="6"/>
  <c r="J58" i="6" s="1"/>
  <c r="K58" i="6" s="1"/>
  <c r="DN113" i="6"/>
  <c r="I41" i="6"/>
  <c r="J41" i="6" s="1"/>
  <c r="R22" i="6"/>
  <c r="AW24" i="6"/>
  <c r="CR24" i="6" s="1"/>
  <c r="CF24" i="6"/>
  <c r="DF24" i="6" s="1"/>
  <c r="BG24" i="6"/>
  <c r="CV24" i="6" s="1"/>
  <c r="BL24" i="6"/>
  <c r="CX24" i="6" s="1"/>
  <c r="BV24" i="6"/>
  <c r="DB24" i="6" s="1"/>
  <c r="CK24" i="6"/>
  <c r="DH24" i="6" s="1"/>
  <c r="CA24" i="6"/>
  <c r="DD24" i="6" s="1"/>
  <c r="BQ24" i="6"/>
  <c r="CZ24" i="6" s="1"/>
  <c r="BB24" i="6"/>
  <c r="CT24" i="6" s="1"/>
  <c r="AK24" i="6"/>
  <c r="CN24" i="6" s="1"/>
  <c r="AR24" i="6"/>
  <c r="CP24" i="6" s="1"/>
  <c r="I46" i="6"/>
  <c r="J46" i="6" s="1"/>
  <c r="K46" i="6" s="1"/>
  <c r="R29" i="6"/>
  <c r="DN37" i="6"/>
  <c r="I54" i="6"/>
  <c r="J54" i="6" s="1"/>
  <c r="R46" i="6"/>
  <c r="DN84" i="6"/>
  <c r="I44" i="6"/>
  <c r="J44" i="6" s="1"/>
  <c r="K44" i="6" s="1"/>
  <c r="R23" i="6"/>
  <c r="DN59" i="6"/>
  <c r="DN25" i="6"/>
  <c r="I56" i="6"/>
  <c r="J56" i="6" s="1"/>
  <c r="K56" i="6" s="1"/>
  <c r="I49" i="6"/>
  <c r="J49" i="6" s="1"/>
  <c r="K49" i="6" s="1"/>
  <c r="R32" i="6"/>
  <c r="I60" i="6"/>
  <c r="J60" i="6" s="1"/>
  <c r="K60" i="6" s="1"/>
  <c r="I43" i="6"/>
  <c r="J43" i="6" s="1"/>
  <c r="K43" i="6" s="1"/>
  <c r="DN52" i="6"/>
  <c r="R30" i="6"/>
  <c r="I68" i="6"/>
  <c r="J68" i="6" s="1"/>
  <c r="K68" i="6" s="1"/>
  <c r="DN53" i="6"/>
  <c r="R42" i="6"/>
  <c r="I70" i="6"/>
  <c r="J70" i="6" s="1"/>
  <c r="K70" i="6" s="1"/>
  <c r="DN112" i="6"/>
  <c r="R44" i="6"/>
  <c r="I51" i="6"/>
  <c r="J51" i="6" s="1"/>
  <c r="K51" i="6" s="1"/>
  <c r="R34" i="6"/>
  <c r="DN68" i="6"/>
  <c r="I47" i="6"/>
  <c r="J47" i="6" s="1"/>
  <c r="K47" i="6" s="1"/>
  <c r="DN28" i="6"/>
  <c r="R28" i="6"/>
  <c r="R40" i="6"/>
  <c r="I61" i="6"/>
  <c r="J61" i="6" s="1"/>
  <c r="K61" i="6" s="1"/>
  <c r="I52" i="6"/>
  <c r="J52" i="6" s="1"/>
  <c r="K52" i="6" s="1"/>
  <c r="DN92" i="6"/>
  <c r="R35" i="6"/>
  <c r="R31" i="6"/>
  <c r="I55" i="6"/>
  <c r="J55" i="6" s="1"/>
  <c r="K55" i="6" s="1"/>
  <c r="DN40" i="6"/>
  <c r="I48" i="6"/>
  <c r="J48" i="6" s="1"/>
  <c r="DN82" i="6"/>
  <c r="R25" i="6"/>
  <c r="I65" i="6"/>
  <c r="J65" i="6" s="1"/>
  <c r="K65" i="6" s="1"/>
  <c r="DN30" i="6"/>
  <c r="R39" i="6"/>
  <c r="T47" i="6" l="1"/>
  <c r="S47" i="6"/>
  <c r="T48" i="6"/>
  <c r="S48" i="6"/>
  <c r="K32" i="6"/>
  <c r="K22" i="6"/>
  <c r="K27" i="6"/>
  <c r="K30" i="6"/>
  <c r="F13" i="6"/>
  <c r="K21" i="6"/>
  <c r="E11" i="6"/>
  <c r="T44" i="6"/>
  <c r="S44" i="6"/>
  <c r="T29" i="6"/>
  <c r="S29" i="6"/>
  <c r="T27" i="6"/>
  <c r="S27" i="6"/>
  <c r="S45" i="6"/>
  <c r="T45" i="6"/>
  <c r="S33" i="6"/>
  <c r="T33" i="6"/>
  <c r="T25" i="6"/>
  <c r="S25" i="6"/>
  <c r="T30" i="6"/>
  <c r="S30" i="6"/>
  <c r="T32" i="6"/>
  <c r="S32" i="6"/>
  <c r="S46" i="6"/>
  <c r="T46" i="6"/>
  <c r="S22" i="6"/>
  <c r="T22" i="6"/>
  <c r="S37" i="6"/>
  <c r="T37" i="6"/>
  <c r="T26" i="6"/>
  <c r="S26" i="6"/>
  <c r="S38" i="6"/>
  <c r="T38" i="6"/>
  <c r="S43" i="6"/>
  <c r="T43" i="6"/>
  <c r="BZ22" i="6"/>
  <c r="BA22" i="6"/>
  <c r="AV22" i="6"/>
  <c r="BP22" i="6"/>
  <c r="BK22" i="6"/>
  <c r="BF22" i="6"/>
  <c r="CE22" i="6"/>
  <c r="CJ22" i="6"/>
  <c r="BU22" i="6"/>
  <c r="S39" i="6"/>
  <c r="T39" i="6"/>
  <c r="S31" i="6"/>
  <c r="T31" i="6"/>
  <c r="T28" i="6"/>
  <c r="S28" i="6"/>
  <c r="T34" i="6"/>
  <c r="S34" i="6"/>
  <c r="S42" i="6"/>
  <c r="T42" i="6"/>
  <c r="T23" i="6"/>
  <c r="S23" i="6"/>
  <c r="E16" i="6"/>
  <c r="K54" i="6"/>
  <c r="K41" i="6"/>
  <c r="S36" i="6"/>
  <c r="T36" i="6"/>
  <c r="DK81" i="6"/>
  <c r="AQ22" i="6"/>
  <c r="K48" i="6"/>
  <c r="F15" i="6"/>
  <c r="T35" i="6"/>
  <c r="S35" i="6"/>
  <c r="S40" i="6"/>
  <c r="T40" i="6"/>
  <c r="K63" i="6"/>
  <c r="P21" i="6" l="1"/>
  <c r="AM22" i="6"/>
  <c r="CL22" i="6"/>
  <c r="CA22" i="6" l="1"/>
  <c r="DD22" i="6" s="1"/>
  <c r="BB22" i="6"/>
  <c r="CT22" i="6" s="1"/>
  <c r="AW22" i="6"/>
  <c r="CR22" i="6" s="1"/>
  <c r="CK22" i="6"/>
  <c r="DH22" i="6" s="1"/>
  <c r="CF22" i="6"/>
  <c r="DF22" i="6" s="1"/>
  <c r="BQ22" i="6"/>
  <c r="CZ22" i="6" s="1"/>
  <c r="BV22" i="6"/>
  <c r="DB22" i="6" s="1"/>
  <c r="BL22" i="6"/>
  <c r="CX22" i="6" s="1"/>
  <c r="BG22" i="6"/>
  <c r="CV22" i="6" s="1"/>
  <c r="AR22" i="6"/>
  <c r="CP22" i="6" s="1"/>
  <c r="AK22" i="6"/>
  <c r="CN22" i="6" s="1"/>
  <c r="DK95" i="6" s="1"/>
  <c r="DM95" i="6" s="1"/>
  <c r="DN95" i="6" s="1"/>
  <c r="AQ25" i="6" l="1"/>
  <c r="BF23" i="6"/>
  <c r="BP23" i="6"/>
  <c r="AQ23" i="6"/>
  <c r="BZ23" i="6"/>
  <c r="BA23" i="6"/>
  <c r="AV23" i="6"/>
  <c r="CE23" i="6"/>
  <c r="BU23" i="6"/>
  <c r="BK23" i="6"/>
  <c r="CJ23" i="6"/>
  <c r="AM23" i="6" l="1"/>
  <c r="CL23" i="6"/>
  <c r="BQ23" i="6" l="1"/>
  <c r="CZ23" i="6" s="1"/>
  <c r="CK23" i="6"/>
  <c r="DH23" i="6" s="1"/>
  <c r="BV23" i="6"/>
  <c r="DB23" i="6" s="1"/>
  <c r="BB23" i="6"/>
  <c r="CT23" i="6" s="1"/>
  <c r="AW23" i="6"/>
  <c r="CR23" i="6" s="1"/>
  <c r="CA23" i="6"/>
  <c r="DD23" i="6" s="1"/>
  <c r="BG23" i="6"/>
  <c r="CV23" i="6" s="1"/>
  <c r="CF23" i="6"/>
  <c r="DF23" i="6" s="1"/>
  <c r="BL23" i="6"/>
  <c r="CX23" i="6" s="1"/>
  <c r="AR23" i="6"/>
  <c r="CP23" i="6" s="1"/>
  <c r="AK23" i="6"/>
  <c r="CN23" i="6" s="1"/>
  <c r="DK114" i="6" s="1"/>
  <c r="DM114" i="6" s="1"/>
  <c r="DN114" i="6" s="1"/>
  <c r="BP25" i="6" l="1"/>
  <c r="AV25" i="6"/>
  <c r="BU25" i="6"/>
  <c r="CJ25" i="6"/>
  <c r="BA25" i="6"/>
  <c r="CE25" i="6"/>
  <c r="BZ25" i="6"/>
  <c r="BF25" i="6"/>
  <c r="BK25" i="6"/>
  <c r="CL25" i="6" l="1"/>
  <c r="AM25" i="6"/>
  <c r="BQ25" i="6" l="1"/>
  <c r="CZ25" i="6" s="1"/>
  <c r="BG25" i="6"/>
  <c r="CV25" i="6" s="1"/>
  <c r="AR25" i="6"/>
  <c r="CP25" i="6" s="1"/>
  <c r="BL25" i="6"/>
  <c r="CX25" i="6" s="1"/>
  <c r="BB25" i="6"/>
  <c r="CT25" i="6" s="1"/>
  <c r="CF25" i="6"/>
  <c r="DF25" i="6" s="1"/>
  <c r="AK25" i="6"/>
  <c r="CN25" i="6" s="1"/>
  <c r="AV26" i="6" s="1"/>
  <c r="CK25" i="6"/>
  <c r="DH25" i="6" s="1"/>
  <c r="BV25" i="6"/>
  <c r="DB25" i="6" s="1"/>
  <c r="CA25" i="6"/>
  <c r="DD25" i="6" s="1"/>
  <c r="AW25" i="6"/>
  <c r="CR25" i="6" s="1"/>
  <c r="BF26" i="6" l="1"/>
  <c r="CJ26" i="6"/>
  <c r="BU26" i="6"/>
  <c r="BK26" i="6"/>
  <c r="BA26" i="6"/>
  <c r="CE26" i="6"/>
  <c r="BZ26" i="6"/>
  <c r="BP26" i="6"/>
  <c r="AQ26" i="6"/>
  <c r="AM26" i="6" l="1"/>
  <c r="CL26" i="6"/>
  <c r="BG26" i="6" l="1"/>
  <c r="CV26" i="6" s="1"/>
  <c r="BV26" i="6"/>
  <c r="DB26" i="6" s="1"/>
  <c r="AR26" i="6"/>
  <c r="CP26" i="6" s="1"/>
  <c r="BQ26" i="6"/>
  <c r="CZ26" i="6" s="1"/>
  <c r="AW26" i="6"/>
  <c r="CR26" i="6" s="1"/>
  <c r="AK26" i="6"/>
  <c r="CN26" i="6" s="1"/>
  <c r="DK104" i="6" s="1"/>
  <c r="BL26" i="6"/>
  <c r="CX26" i="6" s="1"/>
  <c r="BB26" i="6"/>
  <c r="CT26" i="6" s="1"/>
  <c r="CK26" i="6"/>
  <c r="DH26" i="6" s="1"/>
  <c r="CA26" i="6"/>
  <c r="DD26" i="6" s="1"/>
  <c r="CF26" i="6"/>
  <c r="DF26" i="6" s="1"/>
  <c r="BA27" i="6" l="1"/>
  <c r="CE27" i="6"/>
  <c r="BF27" i="6"/>
  <c r="CJ27" i="6"/>
  <c r="BP27" i="6"/>
  <c r="BK27" i="6"/>
  <c r="BU27" i="6"/>
  <c r="AV27" i="6"/>
  <c r="BZ27" i="6"/>
  <c r="AQ27" i="6"/>
  <c r="P24" i="6"/>
  <c r="AM27" i="6" l="1"/>
  <c r="CL27" i="6"/>
  <c r="CK27" i="6" l="1"/>
  <c r="DH27" i="6" s="1"/>
  <c r="BV27" i="6"/>
  <c r="DB27" i="6" s="1"/>
  <c r="AR27" i="6"/>
  <c r="CP27" i="6" s="1"/>
  <c r="AK27" i="6"/>
  <c r="CN27" i="6" s="1"/>
  <c r="AV28" i="6" s="1"/>
  <c r="BB27" i="6"/>
  <c r="CT27" i="6" s="1"/>
  <c r="BQ27" i="6"/>
  <c r="CZ27" i="6" s="1"/>
  <c r="BG27" i="6"/>
  <c r="CV27" i="6" s="1"/>
  <c r="CA27" i="6"/>
  <c r="DD27" i="6" s="1"/>
  <c r="AW27" i="6"/>
  <c r="CR27" i="6" s="1"/>
  <c r="BL27" i="6"/>
  <c r="CX27" i="6" s="1"/>
  <c r="CF27" i="6"/>
  <c r="DF27" i="6" s="1"/>
  <c r="AQ28" i="6" l="1"/>
  <c r="BZ28" i="6"/>
  <c r="CJ28" i="6"/>
  <c r="BA28" i="6"/>
  <c r="BP28" i="6"/>
  <c r="BK28" i="6"/>
  <c r="CE28" i="6"/>
  <c r="BF28" i="6"/>
  <c r="BU28" i="6"/>
  <c r="AM28" i="6" l="1"/>
  <c r="CL28" i="6"/>
  <c r="CA28" i="6" l="1"/>
  <c r="DD28" i="6" s="1"/>
  <c r="BB28" i="6"/>
  <c r="CT28" i="6" s="1"/>
  <c r="AK28" i="6"/>
  <c r="CN28" i="6" s="1"/>
  <c r="BV28" i="6"/>
  <c r="DB28" i="6" s="1"/>
  <c r="BL28" i="6"/>
  <c r="CX28" i="6" s="1"/>
  <c r="CF28" i="6"/>
  <c r="DF28" i="6" s="1"/>
  <c r="BG28" i="6"/>
  <c r="CV28" i="6" s="1"/>
  <c r="BQ28" i="6"/>
  <c r="CZ28" i="6" s="1"/>
  <c r="CK28" i="6"/>
  <c r="DH28" i="6" s="1"/>
  <c r="AW28" i="6"/>
  <c r="CR28" i="6" s="1"/>
  <c r="AR28" i="6"/>
  <c r="CP28" i="6" s="1"/>
  <c r="AV29" i="6" l="1"/>
  <c r="DK72" i="6"/>
  <c r="BA29" i="6"/>
  <c r="AQ29" i="6"/>
  <c r="CJ29" i="6"/>
  <c r="BU29" i="6"/>
  <c r="CE29" i="6"/>
  <c r="BZ29" i="6"/>
  <c r="BK29" i="6"/>
  <c r="BF29" i="6"/>
  <c r="BP29" i="6"/>
  <c r="AM29" i="6" l="1"/>
  <c r="CL29" i="6"/>
  <c r="AR29" i="6" l="1"/>
  <c r="CP29" i="6" s="1"/>
  <c r="BV29" i="6"/>
  <c r="DB29" i="6" s="1"/>
  <c r="AK29" i="6"/>
  <c r="CN29" i="6" s="1"/>
  <c r="CF29" i="6"/>
  <c r="DF29" i="6" s="1"/>
  <c r="CK29" i="6"/>
  <c r="DH29" i="6" s="1"/>
  <c r="BB29" i="6"/>
  <c r="CT29" i="6" s="1"/>
  <c r="DL72" i="6" s="1"/>
  <c r="DM72" i="6" s="1"/>
  <c r="DN72" i="6" s="1"/>
  <c r="BG29" i="6"/>
  <c r="CV29" i="6" s="1"/>
  <c r="BL29" i="6"/>
  <c r="CX29" i="6" s="1"/>
  <c r="AW29" i="6"/>
  <c r="CR29" i="6" s="1"/>
  <c r="DL104" i="6" s="1"/>
  <c r="CA29" i="6"/>
  <c r="DD29" i="6" s="1"/>
  <c r="BQ29" i="6"/>
  <c r="CZ29" i="6" s="1"/>
  <c r="AV30" i="6" l="1"/>
  <c r="CJ30" i="6"/>
  <c r="BA30" i="6"/>
  <c r="BF30" i="6"/>
  <c r="BZ30" i="6"/>
  <c r="CE30" i="6"/>
  <c r="BU30" i="6"/>
  <c r="BK30" i="6"/>
  <c r="BP30" i="6"/>
  <c r="DK85" i="6"/>
  <c r="Q24" i="6"/>
  <c r="DM104" i="6"/>
  <c r="AQ30" i="6"/>
  <c r="CL30" i="6" l="1"/>
  <c r="AM30" i="6"/>
  <c r="I23" i="6"/>
  <c r="J23" i="6" s="1"/>
  <c r="DN104" i="6"/>
  <c r="I29" i="6"/>
  <c r="J29" i="6" s="1"/>
  <c r="R24" i="6"/>
  <c r="I35" i="6"/>
  <c r="J35" i="6" s="1"/>
  <c r="I45" i="6"/>
  <c r="J45" i="6" s="1"/>
  <c r="K23" i="6" l="1"/>
  <c r="H11" i="6" s="1"/>
  <c r="F11" i="6"/>
  <c r="D11" i="6"/>
  <c r="S24" i="6"/>
  <c r="T24" i="6"/>
  <c r="K29" i="6"/>
  <c r="D13" i="6"/>
  <c r="E13" i="6"/>
  <c r="K35" i="6"/>
  <c r="D14" i="6"/>
  <c r="E14" i="6"/>
  <c r="H14" i="6" s="1"/>
  <c r="K45" i="6"/>
  <c r="D15" i="6"/>
  <c r="E15" i="6"/>
  <c r="BQ30" i="6"/>
  <c r="CZ30" i="6" s="1"/>
  <c r="BG30" i="6"/>
  <c r="CV30" i="6" s="1"/>
  <c r="AK30" i="6"/>
  <c r="CN30" i="6" s="1"/>
  <c r="AR30" i="6"/>
  <c r="CP30" i="6" s="1"/>
  <c r="BV30" i="6"/>
  <c r="DB30" i="6" s="1"/>
  <c r="CF30" i="6"/>
  <c r="DF30" i="6" s="1"/>
  <c r="BL30" i="6"/>
  <c r="CX30" i="6" s="1"/>
  <c r="CA30" i="6"/>
  <c r="DD30" i="6" s="1"/>
  <c r="BB30" i="6"/>
  <c r="CT30" i="6" s="1"/>
  <c r="CK30" i="6"/>
  <c r="DH30" i="6" s="1"/>
  <c r="AW30" i="6"/>
  <c r="CR30" i="6" s="1"/>
  <c r="H13" i="6" l="1"/>
  <c r="AV31" i="6"/>
  <c r="H15" i="6"/>
  <c r="BZ31" i="6"/>
  <c r="BK31" i="6"/>
  <c r="CE31" i="6"/>
  <c r="CJ31" i="6"/>
  <c r="BU31" i="6"/>
  <c r="BP31" i="6"/>
  <c r="BF31" i="6"/>
  <c r="AQ31" i="6"/>
  <c r="DK86" i="6"/>
  <c r="BA31" i="6"/>
  <c r="CL31" i="6" l="1"/>
  <c r="AM31" i="6"/>
  <c r="AR31" i="6" l="1"/>
  <c r="CP31" i="6" s="1"/>
  <c r="BV31" i="6"/>
  <c r="DB31" i="6" s="1"/>
  <c r="AW31" i="6"/>
  <c r="CR31" i="6" s="1"/>
  <c r="DL85" i="6" s="1"/>
  <c r="DM85" i="6" s="1"/>
  <c r="DN85" i="6" s="1"/>
  <c r="BQ31" i="6"/>
  <c r="CZ31" i="6" s="1"/>
  <c r="AK31" i="6"/>
  <c r="CN31" i="6" s="1"/>
  <c r="BG31" i="6"/>
  <c r="CV31" i="6" s="1"/>
  <c r="BL31" i="6"/>
  <c r="CX31" i="6" s="1"/>
  <c r="CK31" i="6"/>
  <c r="DH31" i="6" s="1"/>
  <c r="BB31" i="6"/>
  <c r="CT31" i="6" s="1"/>
  <c r="DL86" i="6" s="1"/>
  <c r="DM86" i="6" s="1"/>
  <c r="DN86" i="6" s="1"/>
  <c r="CA31" i="6"/>
  <c r="DD31" i="6" s="1"/>
  <c r="CF31" i="6"/>
  <c r="DF31" i="6" s="1"/>
  <c r="DK57" i="6" l="1"/>
  <c r="CJ32" i="6"/>
  <c r="CE32" i="6"/>
  <c r="BZ32" i="6"/>
  <c r="AQ32" i="6"/>
  <c r="BK32" i="6"/>
  <c r="BP32" i="6"/>
  <c r="AV32" i="6"/>
  <c r="BF32" i="6"/>
  <c r="BA32" i="6"/>
  <c r="BU32" i="6"/>
  <c r="DL21" i="6"/>
  <c r="DM21" i="6" s="1"/>
  <c r="DN21" i="6" s="1"/>
  <c r="P41" i="6"/>
  <c r="DM57" i="6"/>
  <c r="I66" i="6" l="1"/>
  <c r="J66" i="6" s="1"/>
  <c r="DN57" i="6"/>
  <c r="R41" i="6"/>
  <c r="AM32" i="6"/>
  <c r="CL32" i="6"/>
  <c r="AK32" i="6" l="1"/>
  <c r="CN32" i="6" s="1"/>
  <c r="AR32" i="6"/>
  <c r="CP32" i="6" s="1"/>
  <c r="CJ33" i="6" s="1"/>
  <c r="BV32" i="6"/>
  <c r="DB32" i="6" s="1"/>
  <c r="BA33" i="6" s="1"/>
  <c r="CK32" i="6"/>
  <c r="DH32" i="6" s="1"/>
  <c r="BB32" i="6"/>
  <c r="CT32" i="6" s="1"/>
  <c r="BQ32" i="6"/>
  <c r="CZ32" i="6" s="1"/>
  <c r="AW32" i="6"/>
  <c r="CR32" i="6" s="1"/>
  <c r="BL32" i="6"/>
  <c r="CX32" i="6" s="1"/>
  <c r="BG32" i="6"/>
  <c r="CV32" i="6" s="1"/>
  <c r="CF32" i="6"/>
  <c r="DF32" i="6" s="1"/>
  <c r="CA32" i="6"/>
  <c r="DD32" i="6" s="1"/>
  <c r="T41" i="6"/>
  <c r="S41" i="6"/>
  <c r="K66" i="6"/>
  <c r="H16" i="6" s="1"/>
  <c r="D16" i="6"/>
  <c r="F16" i="6"/>
  <c r="BP33" i="6" l="1"/>
  <c r="CE33" i="6"/>
  <c r="BF33" i="6"/>
  <c r="AV33" i="6"/>
  <c r="BZ33" i="6"/>
  <c r="BK33" i="6"/>
  <c r="AQ33" i="6"/>
  <c r="BU33" i="6"/>
  <c r="AM33" i="6" l="1"/>
  <c r="CL33" i="6"/>
  <c r="AR33" i="6" l="1"/>
  <c r="CP33" i="6" s="1"/>
  <c r="BG33" i="6"/>
  <c r="CV33" i="6" s="1"/>
  <c r="BL33" i="6"/>
  <c r="CX33" i="6" s="1"/>
  <c r="BQ33" i="6"/>
  <c r="CZ33" i="6" s="1"/>
  <c r="BV33" i="6"/>
  <c r="DB33" i="6" s="1"/>
  <c r="AK33" i="6"/>
  <c r="CN33" i="6" s="1"/>
  <c r="CF33" i="6"/>
  <c r="DF33" i="6" s="1"/>
  <c r="CK33" i="6"/>
  <c r="DH33" i="6" s="1"/>
  <c r="BB33" i="6"/>
  <c r="CT33" i="6" s="1"/>
  <c r="AW33" i="6"/>
  <c r="CR33" i="6" s="1"/>
  <c r="CA33" i="6"/>
  <c r="DD33" i="6" s="1"/>
  <c r="BZ34" i="6" l="1"/>
  <c r="BK34" i="6"/>
  <c r="BP34" i="6"/>
  <c r="CJ34" i="6"/>
  <c r="AV34" i="6"/>
  <c r="CE34" i="6"/>
  <c r="BF34" i="6"/>
  <c r="AQ34" i="6"/>
  <c r="BU34" i="6"/>
  <c r="BA34" i="6"/>
  <c r="AM34" i="6" l="1"/>
  <c r="CL34" i="6"/>
  <c r="BQ34" i="6" l="1"/>
  <c r="CZ34" i="6" s="1"/>
  <c r="CF34" i="6"/>
  <c r="DF34" i="6" s="1"/>
  <c r="CK34" i="6"/>
  <c r="DH34" i="6" s="1"/>
  <c r="AK34" i="6"/>
  <c r="CN34" i="6" s="1"/>
  <c r="AR34" i="6"/>
  <c r="CP34" i="6" s="1"/>
  <c r="BL34" i="6"/>
  <c r="CX34" i="6" s="1"/>
  <c r="BG34" i="6"/>
  <c r="CV34" i="6" s="1"/>
  <c r="CA34" i="6"/>
  <c r="DD34" i="6" s="1"/>
  <c r="BV34" i="6"/>
  <c r="DB34" i="6" s="1"/>
  <c r="AW34" i="6"/>
  <c r="CR34" i="6" s="1"/>
  <c r="BB34" i="6"/>
  <c r="CT34" i="6" s="1"/>
  <c r="BP35" i="6" l="1"/>
  <c r="BF35" i="6"/>
  <c r="AV35" i="6"/>
  <c r="BA35" i="6"/>
  <c r="AQ35" i="6"/>
  <c r="BK35" i="6"/>
  <c r="BU35" i="6"/>
  <c r="CJ35" i="6"/>
  <c r="CE35" i="6"/>
  <c r="BZ35" i="6"/>
  <c r="AM35" i="6" l="1"/>
  <c r="CL35" i="6"/>
  <c r="AK35" i="6" l="1"/>
  <c r="CN35" i="6" s="1"/>
  <c r="BQ35" i="6"/>
  <c r="CZ35" i="6" s="1"/>
  <c r="BL35" i="6"/>
  <c r="CX35" i="6" s="1"/>
  <c r="AW35" i="6"/>
  <c r="CR35" i="6" s="1"/>
  <c r="BV35" i="6"/>
  <c r="DB35" i="6" s="1"/>
  <c r="AR35" i="6"/>
  <c r="CP35" i="6" s="1"/>
  <c r="AQ36" i="6" s="1"/>
  <c r="BB35" i="6"/>
  <c r="CT35" i="6" s="1"/>
  <c r="CF35" i="6"/>
  <c r="DF35" i="6" s="1"/>
  <c r="CA35" i="6"/>
  <c r="DD35" i="6" s="1"/>
  <c r="CK35" i="6"/>
  <c r="DH35" i="6" s="1"/>
  <c r="BG35" i="6"/>
  <c r="CV35" i="6" s="1"/>
  <c r="BK36" i="6" l="1"/>
  <c r="CJ36" i="6"/>
  <c r="CE36" i="6"/>
  <c r="BZ36" i="6"/>
  <c r="BA36" i="6"/>
  <c r="AV36" i="6"/>
  <c r="BF36" i="6"/>
  <c r="BU36" i="6"/>
  <c r="BP36" i="6"/>
  <c r="AM36" i="6" l="1"/>
  <c r="CL36" i="6"/>
  <c r="BG36" i="6" l="1"/>
  <c r="CV36" i="6" s="1"/>
  <c r="BB36" i="6"/>
  <c r="CT36" i="6" s="1"/>
  <c r="BV36" i="6"/>
  <c r="DB36" i="6" s="1"/>
  <c r="AK36" i="6"/>
  <c r="CN36" i="6" s="1"/>
  <c r="CK36" i="6"/>
  <c r="DH36" i="6" s="1"/>
  <c r="CA36" i="6"/>
  <c r="DD36" i="6" s="1"/>
  <c r="CF36" i="6"/>
  <c r="DF36" i="6" s="1"/>
  <c r="BL36" i="6"/>
  <c r="CX36" i="6" s="1"/>
  <c r="AR36" i="6"/>
  <c r="CP36" i="6" s="1"/>
  <c r="BQ36" i="6"/>
  <c r="CZ36" i="6" s="1"/>
  <c r="AW36" i="6"/>
  <c r="CR36" i="6" s="1"/>
  <c r="BF37" i="6" l="1"/>
  <c r="AV37" i="6"/>
  <c r="BZ37" i="6"/>
  <c r="BU37" i="6"/>
  <c r="BA37" i="6"/>
  <c r="BP37" i="6"/>
  <c r="BK37" i="6"/>
  <c r="CE37" i="6"/>
  <c r="CJ37" i="6"/>
  <c r="AQ37" i="6"/>
  <c r="AM37" i="6" l="1"/>
  <c r="CL37" i="6"/>
  <c r="CA37" i="6" l="1"/>
  <c r="DD37" i="6" s="1"/>
  <c r="CF37" i="6"/>
  <c r="DF37" i="6" s="1"/>
  <c r="BG37" i="6"/>
  <c r="CV37" i="6" s="1"/>
  <c r="AR37" i="6"/>
  <c r="CP37" i="6" s="1"/>
  <c r="BB37" i="6"/>
  <c r="CT37" i="6" s="1"/>
  <c r="CK37" i="6"/>
  <c r="DH37" i="6" s="1"/>
  <c r="BL37" i="6"/>
  <c r="CX37" i="6" s="1"/>
  <c r="AW37" i="6"/>
  <c r="CR37" i="6" s="1"/>
  <c r="BQ37" i="6"/>
  <c r="CZ37" i="6" s="1"/>
  <c r="BV37" i="6"/>
  <c r="DB37" i="6" s="1"/>
  <c r="AK37" i="6"/>
  <c r="CN37" i="6" s="1"/>
  <c r="AV38" i="6" l="1"/>
  <c r="BF38" i="6"/>
  <c r="AQ38" i="6"/>
  <c r="CJ38" i="6"/>
  <c r="BU38" i="6"/>
  <c r="BZ38" i="6"/>
  <c r="BK38" i="6"/>
  <c r="BP38" i="6"/>
  <c r="CE38" i="6"/>
  <c r="BA38" i="6"/>
  <c r="CL38" i="6" l="1"/>
  <c r="AM38" i="6"/>
  <c r="CK38" i="6" l="1"/>
  <c r="DH38" i="6" s="1"/>
  <c r="CF38" i="6"/>
  <c r="DF38" i="6" s="1"/>
  <c r="CA38" i="6"/>
  <c r="DD38" i="6" s="1"/>
  <c r="BQ38" i="6"/>
  <c r="CZ38" i="6" s="1"/>
  <c r="BL38" i="6"/>
  <c r="CX38" i="6" s="1"/>
  <c r="BB38" i="6"/>
  <c r="CT38" i="6" s="1"/>
  <c r="BV38" i="6"/>
  <c r="DB38" i="6" s="1"/>
  <c r="BG38" i="6"/>
  <c r="CV38" i="6" s="1"/>
  <c r="AR38" i="6"/>
  <c r="CP38" i="6" s="1"/>
  <c r="AW38" i="6"/>
  <c r="CR38" i="6" s="1"/>
  <c r="AK38" i="6"/>
  <c r="CN38" i="6" s="1"/>
  <c r="AQ39" i="6" l="1"/>
  <c r="BP39" i="6"/>
  <c r="BU39" i="6"/>
  <c r="CE39" i="6"/>
  <c r="BZ39" i="6"/>
  <c r="BK39" i="6"/>
  <c r="AV39" i="6"/>
  <c r="BA39" i="6"/>
  <c r="BF39" i="6"/>
  <c r="CJ39" i="6"/>
  <c r="AM39" i="6" l="1"/>
  <c r="CL39" i="6"/>
  <c r="AK39" i="6" l="1"/>
  <c r="CN39" i="6" s="1"/>
  <c r="BB39" i="6"/>
  <c r="CT39" i="6" s="1"/>
  <c r="BQ39" i="6"/>
  <c r="CZ39" i="6" s="1"/>
  <c r="AR39" i="6"/>
  <c r="CP39" i="6" s="1"/>
  <c r="AW39" i="6"/>
  <c r="CR39" i="6" s="1"/>
  <c r="BL39" i="6"/>
  <c r="CX39" i="6" s="1"/>
  <c r="CF39" i="6"/>
  <c r="DF39" i="6" s="1"/>
  <c r="CA39" i="6"/>
  <c r="DD39" i="6" s="1"/>
  <c r="BV39" i="6"/>
  <c r="DB39" i="6" s="1"/>
  <c r="BG39" i="6"/>
  <c r="CV39" i="6" s="1"/>
  <c r="CK39" i="6"/>
  <c r="DH39" i="6" s="1"/>
  <c r="BZ40" i="6" l="1"/>
  <c r="BU40" i="6"/>
  <c r="BK40" i="6"/>
  <c r="AQ40" i="6"/>
  <c r="BA40" i="6"/>
  <c r="AV40" i="6"/>
  <c r="CJ40" i="6"/>
  <c r="BF40" i="6"/>
  <c r="CE40" i="6"/>
  <c r="BP40" i="6"/>
  <c r="CL40" i="6" l="1"/>
  <c r="AM40" i="6"/>
  <c r="BV40" i="6" l="1"/>
  <c r="DB40" i="6" s="1"/>
  <c r="BB40" i="6"/>
  <c r="CT40" i="6" s="1"/>
  <c r="AK40" i="6"/>
  <c r="CN40" i="6" s="1"/>
  <c r="BQ40" i="6"/>
  <c r="CZ40" i="6" s="1"/>
  <c r="CF40" i="6"/>
  <c r="DF40" i="6" s="1"/>
  <c r="CA40" i="6"/>
  <c r="DD40" i="6" s="1"/>
  <c r="AR40" i="6"/>
  <c r="CP40" i="6" s="1"/>
  <c r="AW40" i="6"/>
  <c r="CR40" i="6" s="1"/>
  <c r="BG40" i="6"/>
  <c r="CV40" i="6" s="1"/>
  <c r="BL40" i="6"/>
  <c r="CX40" i="6" s="1"/>
  <c r="CK40" i="6"/>
  <c r="DH40" i="6" s="1"/>
  <c r="BU41" i="6" l="1"/>
  <c r="AV41" i="6"/>
  <c r="BA41" i="6"/>
  <c r="CE41" i="6"/>
  <c r="BF41" i="6"/>
  <c r="BP41" i="6"/>
  <c r="BK41" i="6"/>
  <c r="AQ41" i="6"/>
  <c r="CJ41" i="6"/>
  <c r="BZ41" i="6"/>
  <c r="CL41" i="6" l="1"/>
  <c r="AM41" i="6"/>
  <c r="BL41" i="6" l="1"/>
  <c r="CX41" i="6" s="1"/>
  <c r="AR41" i="6"/>
  <c r="CP41" i="6" s="1"/>
  <c r="CF41" i="6"/>
  <c r="DF41" i="6" s="1"/>
  <c r="BG41" i="6"/>
  <c r="CV41" i="6" s="1"/>
  <c r="AW41" i="6"/>
  <c r="CR41" i="6" s="1"/>
  <c r="CK41" i="6"/>
  <c r="DH41" i="6" s="1"/>
  <c r="CA41" i="6"/>
  <c r="DD41" i="6" s="1"/>
  <c r="BV41" i="6"/>
  <c r="DB41" i="6" s="1"/>
  <c r="BB41" i="6"/>
  <c r="CT41" i="6" s="1"/>
  <c r="BQ41" i="6"/>
  <c r="CZ41" i="6" s="1"/>
  <c r="AK41" i="6"/>
  <c r="CN41" i="6" s="1"/>
  <c r="BF42" i="6" l="1"/>
  <c r="BK42" i="6"/>
  <c r="AV42" i="6"/>
  <c r="CJ42" i="6"/>
  <c r="BZ42" i="6"/>
  <c r="BU42" i="6"/>
  <c r="AQ42" i="6"/>
  <c r="BA42" i="6"/>
  <c r="CE42" i="6"/>
  <c r="BP42" i="6"/>
  <c r="CL42" i="6" l="1"/>
  <c r="AM42" i="6"/>
  <c r="CK42" i="6" l="1"/>
  <c r="DH42" i="6" s="1"/>
  <c r="CA42" i="6"/>
  <c r="DD42" i="6" s="1"/>
  <c r="AK42" i="6"/>
  <c r="CN42" i="6" s="1"/>
  <c r="BB42" i="6"/>
  <c r="CT42" i="6" s="1"/>
  <c r="AW42" i="6"/>
  <c r="CR42" i="6" s="1"/>
  <c r="BV42" i="6"/>
  <c r="DB42" i="6" s="1"/>
  <c r="BG42" i="6"/>
  <c r="CV42" i="6" s="1"/>
  <c r="AR42" i="6"/>
  <c r="CP42" i="6" s="1"/>
  <c r="CF42" i="6"/>
  <c r="DF42" i="6" s="1"/>
  <c r="BQ42" i="6"/>
  <c r="CZ42" i="6" s="1"/>
  <c r="BL42" i="6"/>
  <c r="CX42" i="6" s="1"/>
  <c r="AV43" i="6" l="1"/>
  <c r="CJ43" i="6"/>
  <c r="BP43" i="6"/>
  <c r="BK43" i="6"/>
  <c r="BU43" i="6"/>
  <c r="BZ43" i="6"/>
  <c r="CE43" i="6"/>
  <c r="BF43" i="6"/>
  <c r="AQ43" i="6"/>
  <c r="BA43" i="6"/>
  <c r="CL43" i="6" l="1"/>
  <c r="AM43" i="6"/>
  <c r="BV43" i="6" l="1"/>
  <c r="DB43" i="6" s="1"/>
  <c r="CF43" i="6"/>
  <c r="DF43" i="6" s="1"/>
  <c r="CK43" i="6"/>
  <c r="DH43" i="6" s="1"/>
  <c r="AR43" i="6"/>
  <c r="CP43" i="6" s="1"/>
  <c r="CA43" i="6"/>
  <c r="DD43" i="6" s="1"/>
  <c r="AW43" i="6"/>
  <c r="CR43" i="6" s="1"/>
  <c r="BB43" i="6"/>
  <c r="CT43" i="6" s="1"/>
  <c r="BL43" i="6"/>
  <c r="CX43" i="6" s="1"/>
  <c r="BG43" i="6"/>
  <c r="CV43" i="6" s="1"/>
  <c r="AK43" i="6"/>
  <c r="CN43" i="6" s="1"/>
  <c r="BQ43" i="6"/>
  <c r="CZ43" i="6" s="1"/>
  <c r="AQ44" i="6" l="1"/>
  <c r="CE44" i="6"/>
  <c r="BP44" i="6"/>
  <c r="BZ44" i="6"/>
  <c r="BU44" i="6"/>
  <c r="BF44" i="6"/>
  <c r="CJ44" i="6"/>
  <c r="BK44" i="6"/>
  <c r="AV44" i="6"/>
  <c r="BA44" i="6"/>
  <c r="AM44" i="6" l="1"/>
  <c r="CL44" i="6"/>
  <c r="BL44" i="6" l="1"/>
  <c r="CX44" i="6" s="1"/>
  <c r="CK44" i="6"/>
  <c r="DH44" i="6" s="1"/>
  <c r="BB44" i="6"/>
  <c r="CT44" i="6" s="1"/>
  <c r="CA44" i="6"/>
  <c r="DD44" i="6" s="1"/>
  <c r="CF44" i="6"/>
  <c r="DF44" i="6" s="1"/>
  <c r="BQ44" i="6"/>
  <c r="CZ44" i="6" s="1"/>
  <c r="AR44" i="6"/>
  <c r="CP44" i="6" s="1"/>
  <c r="BG44" i="6"/>
  <c r="CV44" i="6" s="1"/>
  <c r="BV44" i="6"/>
  <c r="DB44" i="6" s="1"/>
  <c r="AW44" i="6"/>
  <c r="CR44" i="6" s="1"/>
  <c r="AK44" i="6"/>
  <c r="CN44" i="6" s="1"/>
  <c r="BU45" i="6" l="1"/>
  <c r="AV45" i="6"/>
  <c r="BZ45" i="6"/>
  <c r="BF45" i="6"/>
  <c r="CE45" i="6"/>
  <c r="AQ45" i="6"/>
  <c r="CJ45" i="6"/>
  <c r="BP45" i="6"/>
  <c r="BK45" i="6"/>
  <c r="BA45" i="6"/>
  <c r="CL45" i="6" l="1"/>
  <c r="AM45" i="6"/>
  <c r="BL45" i="6" l="1"/>
  <c r="CX45" i="6" s="1"/>
  <c r="CK45" i="6"/>
  <c r="DH45" i="6" s="1"/>
  <c r="CF45" i="6"/>
  <c r="DF45" i="6" s="1"/>
  <c r="BB45" i="6"/>
  <c r="CT45" i="6" s="1"/>
  <c r="BV45" i="6"/>
  <c r="DB45" i="6" s="1"/>
  <c r="AW45" i="6"/>
  <c r="CR45" i="6" s="1"/>
  <c r="CA45" i="6"/>
  <c r="DD45" i="6" s="1"/>
  <c r="BG45" i="6"/>
  <c r="CV45" i="6" s="1"/>
  <c r="AR45" i="6"/>
  <c r="CP45" i="6" s="1"/>
  <c r="BQ45" i="6"/>
  <c r="CZ45" i="6" s="1"/>
  <c r="AK45" i="6"/>
  <c r="CN45" i="6" s="1"/>
  <c r="BP46" i="6" l="1"/>
  <c r="CE46" i="6"/>
  <c r="BZ46" i="6"/>
  <c r="BF46" i="6"/>
  <c r="BK46" i="6"/>
  <c r="AQ46" i="6"/>
  <c r="BA46" i="6"/>
  <c r="CJ46" i="6"/>
  <c r="BU46" i="6"/>
  <c r="AV46" i="6"/>
  <c r="CL46" i="6" l="1"/>
  <c r="AM46" i="6"/>
  <c r="CA46" i="6" l="1"/>
  <c r="DD46" i="6" s="1"/>
  <c r="BG46" i="6"/>
  <c r="CV46" i="6" s="1"/>
  <c r="AW46" i="6"/>
  <c r="CR46" i="6" s="1"/>
  <c r="BV46" i="6"/>
  <c r="DB46" i="6" s="1"/>
  <c r="AK46" i="6"/>
  <c r="CN46" i="6" s="1"/>
  <c r="AR46" i="6"/>
  <c r="CP46" i="6" s="1"/>
  <c r="CK46" i="6"/>
  <c r="DH46" i="6" s="1"/>
  <c r="BL46" i="6"/>
  <c r="CX46" i="6" s="1"/>
  <c r="CF46" i="6"/>
  <c r="DF46" i="6" s="1"/>
  <c r="BB46" i="6"/>
  <c r="CT46" i="6" s="1"/>
  <c r="BQ46" i="6"/>
  <c r="CZ46" i="6" s="1"/>
  <c r="BK47" i="6" l="1"/>
  <c r="AV47" i="6"/>
  <c r="CJ47" i="6"/>
  <c r="BZ47" i="6"/>
  <c r="CE47" i="6"/>
  <c r="BP47" i="6"/>
  <c r="AQ47" i="6"/>
  <c r="BU47" i="6"/>
  <c r="BA47" i="6"/>
  <c r="BF47" i="6"/>
  <c r="CL47" i="6" l="1"/>
  <c r="AM47" i="6"/>
  <c r="BV47" i="6" l="1"/>
  <c r="DB47" i="6" s="1"/>
  <c r="BQ47" i="6"/>
  <c r="CZ47" i="6" s="1"/>
  <c r="AW47" i="6"/>
  <c r="CR47" i="6" s="1"/>
  <c r="CK47" i="6"/>
  <c r="DH47" i="6" s="1"/>
  <c r="BB47" i="6"/>
  <c r="CT47" i="6" s="1"/>
  <c r="AK47" i="6"/>
  <c r="CN47" i="6" s="1"/>
  <c r="CA47" i="6"/>
  <c r="DD47" i="6" s="1"/>
  <c r="AR47" i="6"/>
  <c r="CP47" i="6" s="1"/>
  <c r="BG47" i="6"/>
  <c r="CV47" i="6" s="1"/>
  <c r="CF47" i="6"/>
  <c r="DF47" i="6" s="1"/>
  <c r="BL47" i="6"/>
  <c r="CX47" i="6" s="1"/>
  <c r="BK48" i="6" l="1"/>
  <c r="BF48" i="6"/>
  <c r="CJ48" i="6"/>
  <c r="BP48" i="6"/>
  <c r="BZ48" i="6"/>
  <c r="BA48" i="6"/>
  <c r="AQ48" i="6"/>
  <c r="BU48" i="6"/>
  <c r="CE48" i="6"/>
  <c r="AV48" i="6"/>
  <c r="AM48" i="6" l="1"/>
  <c r="CL48" i="6"/>
  <c r="CK48" i="6" l="1"/>
  <c r="DH48" i="6" s="1"/>
  <c r="BB48" i="6"/>
  <c r="CT48" i="6" s="1"/>
  <c r="BV48" i="6"/>
  <c r="DB48" i="6" s="1"/>
  <c r="AR48" i="6"/>
  <c r="CP48" i="6" s="1"/>
  <c r="AW48" i="6"/>
  <c r="CR48" i="6" s="1"/>
  <c r="BQ48" i="6"/>
  <c r="CZ48" i="6" s="1"/>
  <c r="BL48" i="6"/>
  <c r="CX48" i="6" s="1"/>
  <c r="BG48" i="6"/>
  <c r="CV48" i="6" s="1"/>
  <c r="CF48" i="6"/>
  <c r="DF48" i="6" s="1"/>
  <c r="CA48" i="6"/>
  <c r="DD48" i="6" s="1"/>
  <c r="AK48" i="6"/>
  <c r="CN48" i="6" s="1"/>
  <c r="BA49" i="6" l="1"/>
  <c r="BZ49" i="6"/>
  <c r="AQ49" i="6"/>
  <c r="BU49" i="6"/>
  <c r="BK49" i="6"/>
  <c r="BP49" i="6"/>
  <c r="BF49" i="6"/>
  <c r="CE49" i="6"/>
  <c r="AV49" i="6"/>
  <c r="CJ49" i="6"/>
  <c r="AM49" i="6" l="1"/>
  <c r="CL49" i="6"/>
  <c r="BL49" i="6" l="1"/>
  <c r="CX49" i="6" s="1"/>
  <c r="CF49" i="6"/>
  <c r="DF49" i="6" s="1"/>
  <c r="BQ49" i="6"/>
  <c r="CZ49" i="6" s="1"/>
  <c r="BB49" i="6"/>
  <c r="CT49" i="6" s="1"/>
  <c r="BG49" i="6"/>
  <c r="CV49" i="6" s="1"/>
  <c r="AW49" i="6"/>
  <c r="CR49" i="6" s="1"/>
  <c r="BV49" i="6"/>
  <c r="DB49" i="6" s="1"/>
  <c r="CA49" i="6"/>
  <c r="DD49" i="6" s="1"/>
  <c r="AR49" i="6"/>
  <c r="CP49" i="6" s="1"/>
  <c r="CK49" i="6"/>
  <c r="DH49" i="6" s="1"/>
  <c r="AK49" i="6"/>
  <c r="CN49" i="6" s="1"/>
  <c r="AV50" i="6" l="1"/>
  <c r="BA50" i="6"/>
  <c r="CJ50" i="6"/>
  <c r="BK50" i="6"/>
  <c r="AQ50" i="6"/>
  <c r="BU50" i="6"/>
  <c r="BP50" i="6"/>
  <c r="BZ50" i="6"/>
  <c r="CE50" i="6"/>
  <c r="BF50" i="6"/>
  <c r="AM50" i="6" l="1"/>
  <c r="CL50" i="6"/>
  <c r="CA50" i="6" l="1"/>
  <c r="DD50" i="6" s="1"/>
  <c r="AR50" i="6"/>
  <c r="CP50" i="6" s="1"/>
  <c r="CK50" i="6"/>
  <c r="DH50" i="6" s="1"/>
  <c r="BV50" i="6"/>
  <c r="DB50" i="6" s="1"/>
  <c r="BB50" i="6"/>
  <c r="CT50" i="6" s="1"/>
  <c r="BG50" i="6"/>
  <c r="CV50" i="6" s="1"/>
  <c r="AK50" i="6"/>
  <c r="CN50" i="6" s="1"/>
  <c r="CF50" i="6"/>
  <c r="DF50" i="6" s="1"/>
  <c r="AW50" i="6"/>
  <c r="CR50" i="6" s="1"/>
  <c r="BL50" i="6"/>
  <c r="CX50" i="6" s="1"/>
  <c r="BQ50" i="6"/>
  <c r="CZ50" i="6" s="1"/>
  <c r="BU51" i="6" l="1"/>
  <c r="BF51" i="6"/>
  <c r="BZ51" i="6"/>
  <c r="BP51" i="6"/>
  <c r="CJ51" i="6"/>
  <c r="CE51" i="6"/>
  <c r="BK51" i="6"/>
  <c r="AQ51" i="6"/>
  <c r="AV51" i="6"/>
  <c r="BA51" i="6"/>
  <c r="CL51" i="6" l="1"/>
  <c r="AM51" i="6"/>
  <c r="AW51" i="6" l="1"/>
  <c r="CR51" i="6" s="1"/>
  <c r="BL51" i="6"/>
  <c r="CX51" i="6" s="1"/>
  <c r="CK51" i="6"/>
  <c r="DH51" i="6" s="1"/>
  <c r="BV51" i="6"/>
  <c r="DB51" i="6" s="1"/>
  <c r="BB51" i="6"/>
  <c r="CT51" i="6" s="1"/>
  <c r="BQ51" i="6"/>
  <c r="CZ51" i="6" s="1"/>
  <c r="AR51" i="6"/>
  <c r="CP51" i="6" s="1"/>
  <c r="BG51" i="6"/>
  <c r="CV51" i="6" s="1"/>
  <c r="CA51" i="6"/>
  <c r="DD51" i="6" s="1"/>
  <c r="CF51" i="6"/>
  <c r="DF51" i="6" s="1"/>
  <c r="AK51" i="6"/>
  <c r="CN51" i="6" s="1"/>
  <c r="AQ52" i="6" l="1"/>
  <c r="CJ52" i="6"/>
  <c r="BP52" i="6"/>
  <c r="BZ52" i="6"/>
  <c r="BK52" i="6"/>
  <c r="BF52" i="6"/>
  <c r="AV52" i="6"/>
  <c r="CE52" i="6"/>
  <c r="BA52" i="6"/>
  <c r="BU52" i="6"/>
  <c r="AM52" i="6" l="1"/>
  <c r="CL52" i="6"/>
  <c r="BQ52" i="6" l="1"/>
  <c r="CZ52" i="6" s="1"/>
  <c r="CF52" i="6"/>
  <c r="DF52" i="6" s="1"/>
  <c r="CA52" i="6"/>
  <c r="DD52" i="6" s="1"/>
  <c r="AK52" i="6"/>
  <c r="CN52" i="6" s="1"/>
  <c r="BG52" i="6"/>
  <c r="CV52" i="6" s="1"/>
  <c r="CK52" i="6"/>
  <c r="DH52" i="6" s="1"/>
  <c r="AW52" i="6"/>
  <c r="CR52" i="6" s="1"/>
  <c r="BL52" i="6"/>
  <c r="CX52" i="6" s="1"/>
  <c r="AR52" i="6"/>
  <c r="CP52" i="6" s="1"/>
  <c r="BB52" i="6"/>
  <c r="CT52" i="6" s="1"/>
  <c r="BV52" i="6"/>
  <c r="DB52" i="6" s="1"/>
  <c r="AQ53" i="6" l="1"/>
  <c r="BP53" i="6"/>
  <c r="BF53" i="6"/>
  <c r="BU53" i="6"/>
  <c r="BK53" i="6"/>
  <c r="BA53" i="6"/>
  <c r="CE53" i="6"/>
  <c r="BZ53" i="6"/>
  <c r="AV53" i="6"/>
  <c r="CJ53" i="6"/>
  <c r="AM53" i="6" l="1"/>
  <c r="CL53" i="6"/>
  <c r="AW53" i="6" l="1"/>
  <c r="CR53" i="6" s="1"/>
  <c r="BV53" i="6"/>
  <c r="DB53" i="6" s="1"/>
  <c r="BL53" i="6"/>
  <c r="CX53" i="6" s="1"/>
  <c r="BB53" i="6"/>
  <c r="CT53" i="6" s="1"/>
  <c r="BG53" i="6"/>
  <c r="CV53" i="6" s="1"/>
  <c r="BQ53" i="6"/>
  <c r="CZ53" i="6" s="1"/>
  <c r="CA53" i="6"/>
  <c r="DD53" i="6" s="1"/>
  <c r="AR53" i="6"/>
  <c r="CP53" i="6" s="1"/>
  <c r="CK53" i="6"/>
  <c r="DH53" i="6" s="1"/>
  <c r="AK53" i="6"/>
  <c r="CN53" i="6" s="1"/>
  <c r="CF53" i="6"/>
  <c r="DF53" i="6" s="1"/>
  <c r="BF54" i="6" l="1"/>
  <c r="BK54" i="6"/>
  <c r="AV54" i="6"/>
  <c r="CJ54" i="6"/>
  <c r="BU54" i="6"/>
  <c r="BA54" i="6"/>
  <c r="AQ54" i="6"/>
  <c r="CE54" i="6"/>
  <c r="BZ54" i="6"/>
  <c r="BP54" i="6"/>
  <c r="AM54" i="6" l="1"/>
  <c r="CL54" i="6"/>
  <c r="CF54" i="6" l="1"/>
  <c r="DF54" i="6" s="1"/>
  <c r="BQ54" i="6"/>
  <c r="CZ54" i="6" s="1"/>
  <c r="BG54" i="6"/>
  <c r="CV54" i="6" s="1"/>
  <c r="CA54" i="6"/>
  <c r="DD54" i="6" s="1"/>
  <c r="BV54" i="6"/>
  <c r="DB54" i="6" s="1"/>
  <c r="AW54" i="6"/>
  <c r="CR54" i="6" s="1"/>
  <c r="BL54" i="6"/>
  <c r="CX54" i="6" s="1"/>
  <c r="AR54" i="6"/>
  <c r="CP54" i="6" s="1"/>
  <c r="CK54" i="6"/>
  <c r="DH54" i="6" s="1"/>
  <c r="BB54" i="6"/>
  <c r="CT54" i="6" s="1"/>
  <c r="AK54" i="6"/>
  <c r="CN54" i="6" s="1"/>
  <c r="BF55" i="6" l="1"/>
  <c r="AQ55" i="6"/>
  <c r="BP55" i="6"/>
  <c r="CE55" i="6"/>
  <c r="BU55" i="6"/>
  <c r="BA55" i="6"/>
  <c r="BZ55" i="6"/>
  <c r="AV55" i="6"/>
  <c r="BK55" i="6"/>
  <c r="CJ55" i="6"/>
  <c r="AM55" i="6" l="1"/>
  <c r="CL55" i="6"/>
  <c r="AR55" i="6" l="1"/>
  <c r="CP55" i="6" s="1"/>
  <c r="CA55" i="6"/>
  <c r="DD55" i="6" s="1"/>
  <c r="CK55" i="6"/>
  <c r="DH55" i="6" s="1"/>
  <c r="AK55" i="6"/>
  <c r="CN55" i="6" s="1"/>
  <c r="BQ55" i="6"/>
  <c r="CZ55" i="6" s="1"/>
  <c r="BG55" i="6"/>
  <c r="CV55" i="6" s="1"/>
  <c r="BB55" i="6"/>
  <c r="CT55" i="6" s="1"/>
  <c r="BV55" i="6"/>
  <c r="DB55" i="6" s="1"/>
  <c r="BL55" i="6"/>
  <c r="CX55" i="6" s="1"/>
  <c r="AW55" i="6"/>
  <c r="CR55" i="6" s="1"/>
  <c r="CF55" i="6"/>
  <c r="DF55" i="6" s="1"/>
  <c r="BK56" i="6" l="1"/>
  <c r="BA56" i="6"/>
  <c r="BU56" i="6"/>
  <c r="BF56" i="6"/>
  <c r="AQ56" i="6"/>
  <c r="BZ56" i="6"/>
  <c r="CE56" i="6"/>
  <c r="CJ56" i="6"/>
  <c r="BP56" i="6"/>
  <c r="AV56" i="6"/>
  <c r="CL56" i="6" l="1"/>
  <c r="AM56" i="6"/>
  <c r="CA56" i="6" l="1"/>
  <c r="DD56" i="6" s="1"/>
  <c r="AW56" i="6"/>
  <c r="CR56" i="6" s="1"/>
  <c r="BV56" i="6"/>
  <c r="DB56" i="6" s="1"/>
  <c r="AR56" i="6"/>
  <c r="CP56" i="6" s="1"/>
  <c r="BG56" i="6"/>
  <c r="CV56" i="6" s="1"/>
  <c r="BQ56" i="6"/>
  <c r="CZ56" i="6" s="1"/>
  <c r="AK56" i="6"/>
  <c r="CN56" i="6" s="1"/>
  <c r="CF56" i="6"/>
  <c r="DF56" i="6" s="1"/>
  <c r="BL56" i="6"/>
  <c r="CX56" i="6" s="1"/>
  <c r="CK56" i="6"/>
  <c r="DH56" i="6" s="1"/>
  <c r="BB56" i="6"/>
  <c r="CT56" i="6" s="1"/>
  <c r="BK57" i="6" l="1"/>
  <c r="BP57" i="6"/>
  <c r="BU57" i="6"/>
  <c r="BA57" i="6"/>
  <c r="BZ57" i="6"/>
  <c r="CE57" i="6"/>
  <c r="AQ57" i="6"/>
  <c r="CJ57" i="6"/>
  <c r="AV57" i="6"/>
  <c r="BF57" i="6"/>
  <c r="CL57" i="6" l="1"/>
  <c r="AM57" i="6"/>
  <c r="BL57" i="6" l="1"/>
  <c r="CX57" i="6" s="1"/>
  <c r="CF57" i="6"/>
  <c r="DF57" i="6" s="1"/>
  <c r="BQ57" i="6"/>
  <c r="CZ57" i="6" s="1"/>
  <c r="BV57" i="6"/>
  <c r="DB57" i="6" s="1"/>
  <c r="AW57" i="6"/>
  <c r="CR57" i="6" s="1"/>
  <c r="CK57" i="6"/>
  <c r="DH57" i="6" s="1"/>
  <c r="CA57" i="6"/>
  <c r="DD57" i="6" s="1"/>
  <c r="BB57" i="6"/>
  <c r="CT57" i="6" s="1"/>
  <c r="BG57" i="6"/>
  <c r="CV57" i="6" s="1"/>
  <c r="AR57" i="6"/>
  <c r="CP57" i="6" s="1"/>
  <c r="AK57" i="6"/>
  <c r="CN57" i="6" s="1"/>
  <c r="BZ58" i="6" l="1"/>
  <c r="CJ58" i="6"/>
  <c r="BA58" i="6"/>
  <c r="BK58" i="6"/>
  <c r="BU58" i="6"/>
  <c r="AQ58" i="6"/>
  <c r="CE58" i="6"/>
  <c r="BP58" i="6"/>
  <c r="BF58" i="6"/>
  <c r="AV58" i="6"/>
  <c r="CL58" i="6" l="1"/>
  <c r="AM58" i="6"/>
  <c r="CK58" i="6" l="1"/>
  <c r="DH58" i="6" s="1"/>
  <c r="CF58" i="6"/>
  <c r="DF58" i="6" s="1"/>
  <c r="BG58" i="6"/>
  <c r="CV58" i="6" s="1"/>
  <c r="BL58" i="6"/>
  <c r="CX58" i="6" s="1"/>
  <c r="BB58" i="6"/>
  <c r="CT58" i="6" s="1"/>
  <c r="AK58" i="6"/>
  <c r="CN58" i="6" s="1"/>
  <c r="CA58" i="6"/>
  <c r="DD58" i="6" s="1"/>
  <c r="AW58" i="6"/>
  <c r="CR58" i="6" s="1"/>
  <c r="AR58" i="6"/>
  <c r="CP58" i="6" s="1"/>
  <c r="BV58" i="6"/>
  <c r="DB58" i="6" s="1"/>
  <c r="BK59" i="6" s="1"/>
  <c r="BQ58" i="6"/>
  <c r="CZ58" i="6" s="1"/>
  <c r="BP59" i="6" l="1"/>
  <c r="AV59" i="6"/>
  <c r="BF59" i="6"/>
  <c r="CE59" i="6"/>
  <c r="AQ59" i="6"/>
  <c r="BU59" i="6"/>
  <c r="BA59" i="6"/>
  <c r="BZ59" i="6"/>
  <c r="CJ59" i="6"/>
  <c r="CL59" i="6" l="1"/>
  <c r="AM59" i="6"/>
  <c r="AW59" i="6" l="1"/>
  <c r="CR59" i="6" s="1"/>
  <c r="AR59" i="6"/>
  <c r="CP59" i="6" s="1"/>
  <c r="BG59" i="6"/>
  <c r="CV59" i="6" s="1"/>
  <c r="CA59" i="6"/>
  <c r="DD59" i="6" s="1"/>
  <c r="BV59" i="6"/>
  <c r="DB59" i="6" s="1"/>
  <c r="BQ59" i="6"/>
  <c r="CZ59" i="6" s="1"/>
  <c r="BL59" i="6"/>
  <c r="CX59" i="6" s="1"/>
  <c r="BB59" i="6"/>
  <c r="CT59" i="6" s="1"/>
  <c r="CF59" i="6"/>
  <c r="DF59" i="6" s="1"/>
  <c r="CK59" i="6"/>
  <c r="DH59" i="6" s="1"/>
  <c r="AK59" i="6"/>
  <c r="CN59" i="6" s="1"/>
  <c r="AQ60" i="6" l="1"/>
  <c r="AV60" i="6"/>
  <c r="BP60" i="6"/>
  <c r="BU60" i="6"/>
  <c r="BA60" i="6"/>
  <c r="BF60" i="6"/>
  <c r="CJ60" i="6"/>
  <c r="BZ60" i="6"/>
  <c r="BK60" i="6"/>
  <c r="CE60" i="6"/>
  <c r="CL60" i="6" l="1"/>
  <c r="AM60" i="6"/>
  <c r="CK60" i="6" l="1"/>
  <c r="DH60" i="6" s="1"/>
  <c r="BL60" i="6"/>
  <c r="CX60" i="6" s="1"/>
  <c r="AK60" i="6"/>
  <c r="CN60" i="6" s="1"/>
  <c r="BG60" i="6"/>
  <c r="CV60" i="6" s="1"/>
  <c r="CA60" i="6"/>
  <c r="DD60" i="6" s="1"/>
  <c r="BB60" i="6"/>
  <c r="CT60" i="6" s="1"/>
  <c r="AW60" i="6"/>
  <c r="CR60" i="6" s="1"/>
  <c r="CF60" i="6"/>
  <c r="DF60" i="6" s="1"/>
  <c r="AR60" i="6"/>
  <c r="CP60" i="6" s="1"/>
  <c r="BV60" i="6"/>
  <c r="DB60" i="6" s="1"/>
  <c r="BQ60" i="6"/>
  <c r="CZ60" i="6" s="1"/>
  <c r="CJ61" i="6" l="1"/>
  <c r="BF61" i="6"/>
  <c r="AV61" i="6"/>
  <c r="BK61" i="6"/>
  <c r="BZ61" i="6"/>
  <c r="AQ61" i="6"/>
  <c r="BP61" i="6"/>
  <c r="BA61" i="6"/>
  <c r="BU61" i="6"/>
  <c r="CE61" i="6"/>
  <c r="AM61" i="6" l="1"/>
  <c r="CL61" i="6"/>
  <c r="BV61" i="6" l="1"/>
  <c r="DB61" i="6" s="1"/>
  <c r="BG61" i="6"/>
  <c r="CV61" i="6" s="1"/>
  <c r="AK61" i="6"/>
  <c r="CN61" i="6" s="1"/>
  <c r="BB61" i="6"/>
  <c r="CT61" i="6" s="1"/>
  <c r="CA61" i="6"/>
  <c r="DD61" i="6" s="1"/>
  <c r="AR61" i="6"/>
  <c r="CP61" i="6" s="1"/>
  <c r="CF61" i="6"/>
  <c r="DF61" i="6" s="1"/>
  <c r="AW61" i="6"/>
  <c r="CR61" i="6" s="1"/>
  <c r="CK61" i="6"/>
  <c r="DH61" i="6" s="1"/>
  <c r="BL61" i="6"/>
  <c r="CX61" i="6" s="1"/>
  <c r="BQ61" i="6"/>
  <c r="CZ61" i="6" s="1"/>
  <c r="BZ62" i="6" l="1"/>
  <c r="BK62" i="6"/>
  <c r="BA62" i="6"/>
  <c r="CJ62" i="6"/>
  <c r="BP62" i="6"/>
  <c r="AQ62" i="6"/>
  <c r="CE62" i="6"/>
  <c r="BF62" i="6"/>
  <c r="AV62" i="6"/>
  <c r="BU62" i="6"/>
  <c r="CL62" i="6" l="1"/>
  <c r="AM62" i="6"/>
  <c r="CF62" i="6" l="1"/>
  <c r="DF62" i="6" s="1"/>
  <c r="AR62" i="6"/>
  <c r="CP62" i="6" s="1"/>
  <c r="BL62" i="6"/>
  <c r="CX62" i="6" s="1"/>
  <c r="BB62" i="6"/>
  <c r="CT62" i="6" s="1"/>
  <c r="BG62" i="6"/>
  <c r="CV62" i="6" s="1"/>
  <c r="BV62" i="6"/>
  <c r="DB62" i="6" s="1"/>
  <c r="CK62" i="6"/>
  <c r="DH62" i="6" s="1"/>
  <c r="AW62" i="6"/>
  <c r="CR62" i="6" s="1"/>
  <c r="BQ62" i="6"/>
  <c r="CZ62" i="6" s="1"/>
  <c r="CA62" i="6"/>
  <c r="DD62" i="6" s="1"/>
  <c r="AK62" i="6"/>
  <c r="CN62" i="6" s="1"/>
  <c r="BZ63" i="6" l="1"/>
  <c r="CE63" i="6"/>
  <c r="AV63" i="6"/>
  <c r="BA63" i="6"/>
  <c r="BF63" i="6"/>
  <c r="AQ63" i="6"/>
  <c r="BP63" i="6"/>
  <c r="BU63" i="6"/>
  <c r="CJ63" i="6"/>
  <c r="BK63" i="6"/>
  <c r="AM63" i="6" l="1"/>
  <c r="CL63" i="6"/>
  <c r="BG63" i="6" l="1"/>
  <c r="CV63" i="6" s="1"/>
  <c r="AR63" i="6"/>
  <c r="CP63" i="6" s="1"/>
  <c r="BV63" i="6"/>
  <c r="DB63" i="6" s="1"/>
  <c r="CF63" i="6"/>
  <c r="DF63" i="6" s="1"/>
  <c r="CA63" i="6"/>
  <c r="DD63" i="6" s="1"/>
  <c r="BB63" i="6"/>
  <c r="CT63" i="6" s="1"/>
  <c r="BL63" i="6"/>
  <c r="CX63" i="6" s="1"/>
  <c r="AW63" i="6"/>
  <c r="CR63" i="6" s="1"/>
  <c r="BQ63" i="6"/>
  <c r="CZ63" i="6" s="1"/>
  <c r="AK63" i="6"/>
  <c r="CN63" i="6" s="1"/>
  <c r="CK63" i="6"/>
  <c r="DH63" i="6" s="1"/>
  <c r="CE64" i="6" l="1"/>
  <c r="BF64" i="6"/>
  <c r="BZ64" i="6"/>
  <c r="BK64" i="6"/>
  <c r="AV64" i="6"/>
  <c r="BU64" i="6"/>
  <c r="BP64" i="6"/>
  <c r="CJ64" i="6"/>
  <c r="BA64" i="6"/>
  <c r="AQ64" i="6"/>
  <c r="AM64" i="6" l="1"/>
  <c r="CL64" i="6"/>
  <c r="BB64" i="6" l="1"/>
  <c r="CT64" i="6" s="1"/>
  <c r="CK64" i="6"/>
  <c r="DH64" i="6" s="1"/>
  <c r="AW64" i="6"/>
  <c r="CR64" i="6" s="1"/>
  <c r="CF64" i="6"/>
  <c r="DF64" i="6" s="1"/>
  <c r="BV64" i="6"/>
  <c r="DB64" i="6" s="1"/>
  <c r="BG64" i="6"/>
  <c r="CV64" i="6" s="1"/>
  <c r="BQ64" i="6"/>
  <c r="CZ64" i="6" s="1"/>
  <c r="AR64" i="6"/>
  <c r="CP64" i="6" s="1"/>
  <c r="CA64" i="6"/>
  <c r="DD64" i="6" s="1"/>
  <c r="BL64" i="6"/>
  <c r="CX64" i="6" s="1"/>
  <c r="AK64" i="6"/>
  <c r="CN64" i="6" s="1"/>
  <c r="BP65" i="6" l="1"/>
  <c r="BZ65" i="6"/>
  <c r="AV65" i="6"/>
  <c r="CE65" i="6"/>
  <c r="BK65" i="6"/>
  <c r="BA65" i="6"/>
  <c r="CJ65" i="6"/>
  <c r="BF65" i="6"/>
  <c r="BU65" i="6"/>
  <c r="AQ65" i="6"/>
  <c r="AM65" i="6" l="1"/>
  <c r="CL65" i="6"/>
  <c r="AW65" i="6" l="1"/>
  <c r="CR65" i="6" s="1"/>
  <c r="AK65" i="6"/>
  <c r="CN65" i="6" s="1"/>
  <c r="AR65" i="6"/>
  <c r="CP65" i="6" s="1"/>
  <c r="BV65" i="6"/>
  <c r="DB65" i="6" s="1"/>
  <c r="CA65" i="6"/>
  <c r="DD65" i="6" s="1"/>
  <c r="CF65" i="6"/>
  <c r="DF65" i="6" s="1"/>
  <c r="BL65" i="6"/>
  <c r="CX65" i="6" s="1"/>
  <c r="CK65" i="6"/>
  <c r="DH65" i="6" s="1"/>
  <c r="BB65" i="6"/>
  <c r="CT65" i="6" s="1"/>
  <c r="BQ65" i="6"/>
  <c r="CZ65" i="6" s="1"/>
  <c r="BG65" i="6"/>
  <c r="CV65" i="6" s="1"/>
  <c r="AV66" i="6" l="1"/>
  <c r="BF66" i="6"/>
  <c r="BP66" i="6"/>
  <c r="CE66" i="6"/>
  <c r="BK66" i="6"/>
  <c r="BZ66" i="6"/>
  <c r="BU66" i="6"/>
  <c r="AQ66" i="6"/>
  <c r="CJ66" i="6"/>
  <c r="BA66" i="6"/>
  <c r="CL66" i="6" l="1"/>
  <c r="AM66" i="6"/>
  <c r="AK66" i="6" l="1"/>
  <c r="CN66" i="6" s="1"/>
  <c r="BV66" i="6"/>
  <c r="DB66" i="6" s="1"/>
  <c r="AR66" i="6"/>
  <c r="CP66" i="6" s="1"/>
  <c r="AW66" i="6"/>
  <c r="CR66" i="6" s="1"/>
  <c r="BQ66" i="6"/>
  <c r="CZ66" i="6" s="1"/>
  <c r="BG66" i="6"/>
  <c r="CV66" i="6" s="1"/>
  <c r="BL66" i="6"/>
  <c r="CX66" i="6" s="1"/>
  <c r="BB66" i="6"/>
  <c r="CT66" i="6" s="1"/>
  <c r="CA66" i="6"/>
  <c r="DD66" i="6" s="1"/>
  <c r="CF66" i="6"/>
  <c r="DF66" i="6" s="1"/>
  <c r="CK66" i="6"/>
  <c r="DH66" i="6" s="1"/>
  <c r="AV67" i="6" l="1"/>
  <c r="CJ67" i="6"/>
  <c r="BF67" i="6"/>
  <c r="BU67" i="6"/>
  <c r="BP67" i="6"/>
  <c r="BZ67" i="6"/>
  <c r="BK67" i="6"/>
  <c r="CE67" i="6"/>
  <c r="BA67" i="6"/>
  <c r="AQ67" i="6"/>
  <c r="CL67" i="6" l="1"/>
  <c r="AM67" i="6"/>
  <c r="CK67" i="6" l="1"/>
  <c r="DH67" i="6" s="1"/>
  <c r="BG67" i="6"/>
  <c r="CV67" i="6" s="1"/>
  <c r="BL67" i="6"/>
  <c r="CX67" i="6" s="1"/>
  <c r="AK67" i="6"/>
  <c r="CN67" i="6" s="1"/>
  <c r="BQ67" i="6"/>
  <c r="CZ67" i="6" s="1"/>
  <c r="BV67" i="6"/>
  <c r="DB67" i="6" s="1"/>
  <c r="AR67" i="6"/>
  <c r="CP67" i="6" s="1"/>
  <c r="CA67" i="6"/>
  <c r="DD67" i="6" s="1"/>
  <c r="AW67" i="6"/>
  <c r="CR67" i="6" s="1"/>
  <c r="CF67" i="6"/>
  <c r="DF67" i="6" s="1"/>
  <c r="BB67" i="6"/>
  <c r="CT67" i="6" s="1"/>
  <c r="CJ68" i="6" l="1"/>
  <c r="BP68" i="6"/>
  <c r="AV68" i="6"/>
  <c r="AQ68" i="6"/>
  <c r="BF68" i="6"/>
  <c r="CE68" i="6"/>
  <c r="BZ68" i="6"/>
  <c r="BU68" i="6"/>
  <c r="BA68" i="6"/>
  <c r="BK68" i="6"/>
  <c r="AM68" i="6" l="1"/>
  <c r="CL68" i="6"/>
  <c r="AW68" i="6" l="1"/>
  <c r="CR68" i="6" s="1"/>
  <c r="BL68" i="6"/>
  <c r="CX68" i="6" s="1"/>
  <c r="BB68" i="6"/>
  <c r="CT68" i="6" s="1"/>
  <c r="BG68" i="6"/>
  <c r="CV68" i="6" s="1"/>
  <c r="AR68" i="6"/>
  <c r="CP68" i="6" s="1"/>
  <c r="CK68" i="6"/>
  <c r="DH68" i="6" s="1"/>
  <c r="BV68" i="6"/>
  <c r="DB68" i="6" s="1"/>
  <c r="CF68" i="6"/>
  <c r="DF68" i="6" s="1"/>
  <c r="CA68" i="6"/>
  <c r="DD68" i="6" s="1"/>
  <c r="BQ68" i="6"/>
  <c r="CZ68" i="6" s="1"/>
  <c r="AK68" i="6"/>
  <c r="CN68" i="6" s="1"/>
  <c r="BF69" i="6" l="1"/>
  <c r="BP69" i="6"/>
  <c r="BZ69" i="6"/>
  <c r="AQ69" i="6"/>
  <c r="CJ69" i="6"/>
  <c r="BA69" i="6"/>
  <c r="CE69" i="6"/>
  <c r="BK69" i="6"/>
  <c r="BU69" i="6"/>
  <c r="AV69" i="6"/>
  <c r="CL69" i="6" l="1"/>
  <c r="AM69" i="6"/>
  <c r="AK69" i="6" l="1"/>
  <c r="CN69" i="6" s="1"/>
  <c r="CA69" i="6"/>
  <c r="DD69" i="6" s="1"/>
  <c r="BV69" i="6"/>
  <c r="DB69" i="6" s="1"/>
  <c r="AR69" i="6"/>
  <c r="CP69" i="6" s="1"/>
  <c r="BB69" i="6"/>
  <c r="CT69" i="6" s="1"/>
  <c r="AW69" i="6"/>
  <c r="CR69" i="6" s="1"/>
  <c r="CF69" i="6"/>
  <c r="DF69" i="6" s="1"/>
  <c r="BG69" i="6"/>
  <c r="CV69" i="6" s="1"/>
  <c r="CK69" i="6"/>
  <c r="DH69" i="6" s="1"/>
  <c r="BL69" i="6"/>
  <c r="CX69" i="6" s="1"/>
  <c r="BQ69" i="6"/>
  <c r="CZ69" i="6" s="1"/>
  <c r="BF70" i="6" l="1"/>
  <c r="BA70" i="6"/>
  <c r="BP70" i="6"/>
  <c r="BZ70" i="6"/>
  <c r="AV70" i="6"/>
  <c r="BK70" i="6"/>
  <c r="AQ70" i="6"/>
  <c r="CE70" i="6"/>
  <c r="BU70" i="6"/>
  <c r="CJ70" i="6"/>
  <c r="CL70" i="6" l="1"/>
  <c r="AM70" i="6"/>
  <c r="AW70" i="6" l="1"/>
  <c r="CR70" i="6" s="1"/>
  <c r="AK70" i="6"/>
  <c r="CN70" i="6" s="1"/>
  <c r="CK70" i="6"/>
  <c r="DH70" i="6" s="1"/>
  <c r="BB70" i="6"/>
  <c r="CT70" i="6" s="1"/>
  <c r="BL70" i="6"/>
  <c r="CX70" i="6" s="1"/>
  <c r="BV70" i="6"/>
  <c r="DB70" i="6" s="1"/>
  <c r="CA70" i="6"/>
  <c r="DD70" i="6" s="1"/>
  <c r="CF70" i="6"/>
  <c r="DF70" i="6" s="1"/>
  <c r="BG70" i="6"/>
  <c r="CV70" i="6" s="1"/>
  <c r="BQ70" i="6"/>
  <c r="CZ70" i="6" s="1"/>
  <c r="AR70" i="6"/>
  <c r="CP70" i="6" s="1"/>
  <c r="AV71" i="6" l="1"/>
  <c r="BU71" i="6"/>
  <c r="BK71" i="6"/>
  <c r="BP71" i="6"/>
  <c r="BF71" i="6"/>
  <c r="CE71" i="6"/>
  <c r="CJ71" i="6"/>
  <c r="BZ71" i="6"/>
  <c r="BA71" i="6"/>
  <c r="AQ71" i="6"/>
  <c r="CL71" i="6" l="1"/>
  <c r="AM71" i="6"/>
  <c r="AR71" i="6" l="1"/>
  <c r="CP71" i="6" s="1"/>
  <c r="BQ71" i="6"/>
  <c r="CZ71" i="6" s="1"/>
  <c r="BU72" i="6" s="1"/>
  <c r="BL71" i="6"/>
  <c r="CX71" i="6" s="1"/>
  <c r="AK71" i="6"/>
  <c r="CN71" i="6" s="1"/>
  <c r="CA71" i="6"/>
  <c r="DD71" i="6" s="1"/>
  <c r="BG71" i="6"/>
  <c r="CV71" i="6" s="1"/>
  <c r="CF71" i="6"/>
  <c r="DF71" i="6" s="1"/>
  <c r="AW71" i="6"/>
  <c r="CR71" i="6" s="1"/>
  <c r="BV71" i="6"/>
  <c r="DB71" i="6" s="1"/>
  <c r="CK71" i="6"/>
  <c r="DH71" i="6" s="1"/>
  <c r="BB71" i="6"/>
  <c r="CT71" i="6" s="1"/>
  <c r="AV72" i="6" l="1"/>
  <c r="BZ72" i="6"/>
  <c r="BK72" i="6"/>
  <c r="AQ72" i="6"/>
  <c r="BP72" i="6"/>
  <c r="BF72" i="6"/>
  <c r="BA72" i="6"/>
  <c r="CE72" i="6"/>
  <c r="CJ72" i="6"/>
  <c r="AM72" i="6" l="1"/>
  <c r="CL72" i="6"/>
  <c r="BQ72" i="6" l="1"/>
  <c r="CZ72" i="6" s="1"/>
  <c r="AR72" i="6"/>
  <c r="CP72" i="6" s="1"/>
  <c r="AW72" i="6"/>
  <c r="CR72" i="6" s="1"/>
  <c r="CA72" i="6"/>
  <c r="DD72" i="6" s="1"/>
  <c r="AK72" i="6"/>
  <c r="CN72" i="6" s="1"/>
  <c r="BL72" i="6"/>
  <c r="CX72" i="6" s="1"/>
  <c r="CF72" i="6"/>
  <c r="DF72" i="6" s="1"/>
  <c r="BG72" i="6"/>
  <c r="CV72" i="6" s="1"/>
  <c r="BV72" i="6"/>
  <c r="DB72" i="6" s="1"/>
  <c r="CK72" i="6"/>
  <c r="DH72" i="6" s="1"/>
  <c r="BB72" i="6"/>
  <c r="CT72" i="6" s="1"/>
  <c r="BZ73" i="6" l="1"/>
  <c r="CJ73" i="6"/>
  <c r="AV73" i="6"/>
  <c r="AQ73" i="6"/>
  <c r="BA73" i="6"/>
  <c r="BU73" i="6"/>
  <c r="BP73" i="6"/>
  <c r="BK73" i="6"/>
  <c r="BF73" i="6"/>
  <c r="CE73" i="6"/>
  <c r="CL73" i="6" l="1"/>
  <c r="AM73" i="6"/>
  <c r="AK73" i="6" l="1"/>
  <c r="CN73" i="6" s="1"/>
  <c r="BG73" i="6"/>
  <c r="CV73" i="6" s="1"/>
  <c r="AR73" i="6"/>
  <c r="CP73" i="6" s="1"/>
  <c r="CA73" i="6"/>
  <c r="DD73" i="6" s="1"/>
  <c r="BV73" i="6"/>
  <c r="DB73" i="6" s="1"/>
  <c r="CK73" i="6"/>
  <c r="DH73" i="6" s="1"/>
  <c r="BQ73" i="6"/>
  <c r="CZ73" i="6" s="1"/>
  <c r="BL73" i="6"/>
  <c r="CX73" i="6" s="1"/>
  <c r="BB73" i="6"/>
  <c r="CT73" i="6" s="1"/>
  <c r="CF73" i="6"/>
  <c r="DF73" i="6" s="1"/>
  <c r="AW73" i="6"/>
  <c r="CR73" i="6" s="1"/>
  <c r="BU74" i="6" l="1"/>
  <c r="BZ74" i="6"/>
  <c r="BF74" i="6"/>
  <c r="AV74" i="6"/>
  <c r="AQ74" i="6"/>
  <c r="BP74" i="6"/>
  <c r="BK74" i="6"/>
  <c r="CE74" i="6"/>
  <c r="CJ74" i="6"/>
  <c r="BA74" i="6"/>
  <c r="CL74" i="6" l="1"/>
  <c r="AM74" i="6"/>
  <c r="AR74" i="6" l="1"/>
  <c r="CP74" i="6" s="1"/>
  <c r="CK74" i="6"/>
  <c r="DH74" i="6" s="1"/>
  <c r="BQ74" i="6"/>
  <c r="CZ74" i="6" s="1"/>
  <c r="BB74" i="6"/>
  <c r="CT74" i="6" s="1"/>
  <c r="AK74" i="6"/>
  <c r="CN74" i="6" s="1"/>
  <c r="AW74" i="6"/>
  <c r="CR74" i="6" s="1"/>
  <c r="BL74" i="6"/>
  <c r="CX74" i="6" s="1"/>
  <c r="CA74" i="6"/>
  <c r="DD74" i="6" s="1"/>
  <c r="BV74" i="6"/>
  <c r="DB74" i="6" s="1"/>
  <c r="CF74" i="6"/>
  <c r="DF74" i="6" s="1"/>
  <c r="BG74" i="6"/>
  <c r="CV74" i="6" s="1"/>
  <c r="BK75" i="6" l="1"/>
  <c r="AV75" i="6"/>
  <c r="BU75" i="6"/>
  <c r="CJ75" i="6"/>
  <c r="BZ75" i="6"/>
  <c r="BA75" i="6"/>
  <c r="CE75" i="6"/>
  <c r="BF75" i="6"/>
  <c r="BP75" i="6"/>
  <c r="AQ75" i="6"/>
  <c r="CL75" i="6" l="1"/>
  <c r="AM75" i="6"/>
  <c r="AK75" i="6" l="1"/>
  <c r="CN75" i="6" s="1"/>
  <c r="CF75" i="6"/>
  <c r="DF75" i="6" s="1"/>
  <c r="BQ75" i="6"/>
  <c r="CZ75" i="6" s="1"/>
  <c r="BG75" i="6"/>
  <c r="CV75" i="6" s="1"/>
  <c r="AR75" i="6"/>
  <c r="CP75" i="6" s="1"/>
  <c r="CK75" i="6"/>
  <c r="DH75" i="6" s="1"/>
  <c r="BV75" i="6"/>
  <c r="DB75" i="6" s="1"/>
  <c r="BB75" i="6"/>
  <c r="CT75" i="6" s="1"/>
  <c r="AW75" i="6"/>
  <c r="CR75" i="6" s="1"/>
  <c r="BL75" i="6"/>
  <c r="CX75" i="6" s="1"/>
  <c r="CA75" i="6"/>
  <c r="DD75" i="6" s="1"/>
  <c r="BP76" i="6" l="1"/>
  <c r="BU76" i="6"/>
  <c r="AQ76" i="6"/>
  <c r="BK76" i="6"/>
  <c r="BZ76" i="6"/>
  <c r="AV76" i="6"/>
  <c r="BF76" i="6"/>
  <c r="CJ76" i="6"/>
  <c r="BA76" i="6"/>
  <c r="CE76" i="6"/>
  <c r="CL76" i="6" l="1"/>
  <c r="AM76" i="6"/>
  <c r="BV76" i="6" l="1"/>
  <c r="DB76" i="6" s="1"/>
  <c r="BQ76" i="6"/>
  <c r="CZ76" i="6" s="1"/>
  <c r="BG76" i="6"/>
  <c r="CV76" i="6" s="1"/>
  <c r="BB76" i="6"/>
  <c r="CT76" i="6" s="1"/>
  <c r="AK76" i="6"/>
  <c r="CN76" i="6" s="1"/>
  <c r="BL76" i="6"/>
  <c r="CX76" i="6" s="1"/>
  <c r="BP77" i="6" s="1"/>
  <c r="CA76" i="6"/>
  <c r="DD76" i="6" s="1"/>
  <c r="AW76" i="6"/>
  <c r="CR76" i="6" s="1"/>
  <c r="AR76" i="6"/>
  <c r="CP76" i="6" s="1"/>
  <c r="CK76" i="6"/>
  <c r="DH76" i="6" s="1"/>
  <c r="CF76" i="6"/>
  <c r="DF76" i="6" s="1"/>
  <c r="CJ77" i="6" l="1"/>
  <c r="BK77" i="6"/>
  <c r="BA77" i="6"/>
  <c r="BF77" i="6"/>
  <c r="BZ77" i="6"/>
  <c r="CE77" i="6"/>
  <c r="AQ77" i="6"/>
  <c r="AV77" i="6"/>
  <c r="BU77" i="6"/>
  <c r="AM77" i="6" l="1"/>
  <c r="CL77" i="6"/>
  <c r="AR77" i="6" l="1"/>
  <c r="CP77" i="6" s="1"/>
  <c r="CK77" i="6"/>
  <c r="DH77" i="6" s="1"/>
  <c r="BL77" i="6"/>
  <c r="CX77" i="6" s="1"/>
  <c r="BG77" i="6"/>
  <c r="CV77" i="6" s="1"/>
  <c r="CA77" i="6"/>
  <c r="DD77" i="6" s="1"/>
  <c r="AK77" i="6"/>
  <c r="CN77" i="6" s="1"/>
  <c r="BV77" i="6"/>
  <c r="DB77" i="6" s="1"/>
  <c r="AW77" i="6"/>
  <c r="CR77" i="6" s="1"/>
  <c r="BB77" i="6"/>
  <c r="CT77" i="6" s="1"/>
  <c r="BQ77" i="6"/>
  <c r="CZ77" i="6" s="1"/>
  <c r="CF77" i="6"/>
  <c r="DF77" i="6" s="1"/>
  <c r="BA78" i="6" l="1"/>
  <c r="BZ78" i="6"/>
  <c r="BP78" i="6"/>
  <c r="BU78" i="6"/>
  <c r="BK78" i="6"/>
  <c r="AV78" i="6"/>
  <c r="CJ78" i="6"/>
  <c r="BF78" i="6"/>
  <c r="AQ78" i="6"/>
  <c r="CE78" i="6"/>
  <c r="CL78" i="6" l="1"/>
  <c r="AM78" i="6"/>
  <c r="BV78" i="6" l="1"/>
  <c r="DB78" i="6" s="1"/>
  <c r="CF78" i="6"/>
  <c r="DF78" i="6" s="1"/>
  <c r="CK78" i="6"/>
  <c r="DH78" i="6" s="1"/>
  <c r="BQ78" i="6"/>
  <c r="CZ78" i="6" s="1"/>
  <c r="BG78" i="6"/>
  <c r="CV78" i="6" s="1"/>
  <c r="BL78" i="6"/>
  <c r="CX78" i="6" s="1"/>
  <c r="AW78" i="6"/>
  <c r="CR78" i="6" s="1"/>
  <c r="CA78" i="6"/>
  <c r="DD78" i="6" s="1"/>
  <c r="AK78" i="6"/>
  <c r="CN78" i="6" s="1"/>
  <c r="AR78" i="6"/>
  <c r="CP78" i="6" s="1"/>
  <c r="BB78" i="6"/>
  <c r="CT78" i="6" s="1"/>
  <c r="BZ79" i="6" l="1"/>
  <c r="AQ79" i="6"/>
  <c r="BP79" i="6"/>
  <c r="BK79" i="6"/>
  <c r="BA79" i="6"/>
  <c r="BU79" i="6"/>
  <c r="AV79" i="6"/>
  <c r="CJ79" i="6"/>
  <c r="BF79" i="6"/>
  <c r="CE79" i="6"/>
  <c r="CL79" i="6" l="1"/>
  <c r="AM79" i="6"/>
  <c r="CF79" i="6" l="1"/>
  <c r="DF79" i="6" s="1"/>
  <c r="AW79" i="6"/>
  <c r="CR79" i="6" s="1"/>
  <c r="BL79" i="6"/>
  <c r="CX79" i="6" s="1"/>
  <c r="AK79" i="6"/>
  <c r="CN79" i="6" s="1"/>
  <c r="CA79" i="6"/>
  <c r="DD79" i="6" s="1"/>
  <c r="BV79" i="6"/>
  <c r="DB79" i="6" s="1"/>
  <c r="CK79" i="6"/>
  <c r="DH79" i="6" s="1"/>
  <c r="AR79" i="6"/>
  <c r="CP79" i="6" s="1"/>
  <c r="BQ79" i="6"/>
  <c r="CZ79" i="6" s="1"/>
  <c r="BB79" i="6"/>
  <c r="CT79" i="6" s="1"/>
  <c r="BG79" i="6"/>
  <c r="CV79" i="6" s="1"/>
  <c r="BK80" i="6" l="1"/>
  <c r="BP80" i="6"/>
  <c r="BU80" i="6"/>
  <c r="AQ80" i="6"/>
  <c r="CJ80" i="6"/>
  <c r="BZ80" i="6"/>
  <c r="BF80" i="6"/>
  <c r="AV80" i="6"/>
  <c r="BA80" i="6"/>
  <c r="CE80" i="6"/>
  <c r="CL80" i="6" l="1"/>
  <c r="AM80" i="6"/>
  <c r="AR80" i="6" l="1"/>
  <c r="CP80" i="6" s="1"/>
  <c r="BG80" i="6"/>
  <c r="CV80" i="6" s="1"/>
  <c r="AK80" i="6"/>
  <c r="CN80" i="6" s="1"/>
  <c r="BV80" i="6"/>
  <c r="DB80" i="6" s="1"/>
  <c r="BL80" i="6"/>
  <c r="CX80" i="6" s="1"/>
  <c r="CK80" i="6"/>
  <c r="DH80" i="6" s="1"/>
  <c r="BQ80" i="6"/>
  <c r="CZ80" i="6" s="1"/>
  <c r="BB80" i="6"/>
  <c r="CT80" i="6" s="1"/>
  <c r="AW80" i="6"/>
  <c r="CR80" i="6" s="1"/>
  <c r="CA80" i="6"/>
  <c r="DD80" i="6" s="1"/>
  <c r="CF80" i="6"/>
  <c r="DF80" i="6" s="1"/>
  <c r="BU81" i="6" l="1"/>
  <c r="BF81" i="6"/>
  <c r="CJ81" i="6"/>
  <c r="BK81" i="6"/>
  <c r="BA81" i="6"/>
  <c r="BZ81" i="6"/>
  <c r="AQ81" i="6"/>
  <c r="BP81" i="6"/>
  <c r="CE81" i="6"/>
  <c r="AV81" i="6"/>
  <c r="CL81" i="6" l="1"/>
  <c r="AM81" i="6"/>
  <c r="AK81" i="6" l="1"/>
  <c r="CN81" i="6" s="1"/>
  <c r="BB81" i="6"/>
  <c r="CT81" i="6" s="1"/>
  <c r="BQ81" i="6"/>
  <c r="CZ81" i="6" s="1"/>
  <c r="AR81" i="6"/>
  <c r="CP81" i="6" s="1"/>
  <c r="AW81" i="6"/>
  <c r="CR81" i="6" s="1"/>
  <c r="BV81" i="6"/>
  <c r="DB81" i="6" s="1"/>
  <c r="CK81" i="6"/>
  <c r="DH81" i="6" s="1"/>
  <c r="BL81" i="6"/>
  <c r="CX81" i="6" s="1"/>
  <c r="CF81" i="6"/>
  <c r="DF81" i="6" s="1"/>
  <c r="CA81" i="6"/>
  <c r="DD81" i="6" s="1"/>
  <c r="BG81" i="6"/>
  <c r="CV81" i="6" s="1"/>
  <c r="BF82" i="6" l="1"/>
  <c r="BZ82" i="6"/>
  <c r="AV82" i="6"/>
  <c r="BA82" i="6"/>
  <c r="CJ82" i="6"/>
  <c r="BU82" i="6"/>
  <c r="BK82" i="6"/>
  <c r="AQ82" i="6"/>
  <c r="CE82" i="6"/>
  <c r="BP82" i="6"/>
  <c r="CL82" i="6" l="1"/>
  <c r="AM82" i="6"/>
  <c r="BG82" i="6" l="1"/>
  <c r="CV82" i="6" s="1"/>
  <c r="BB82" i="6"/>
  <c r="CT82" i="6" s="1"/>
  <c r="AW82" i="6"/>
  <c r="CR82" i="6" s="1"/>
  <c r="BQ82" i="6"/>
  <c r="CZ82" i="6" s="1"/>
  <c r="AK82" i="6"/>
  <c r="CN82" i="6" s="1"/>
  <c r="BV82" i="6"/>
  <c r="DB82" i="6" s="1"/>
  <c r="CK82" i="6"/>
  <c r="DH82" i="6" s="1"/>
  <c r="AR82" i="6"/>
  <c r="CP82" i="6" s="1"/>
  <c r="CF82" i="6"/>
  <c r="DF82" i="6" s="1"/>
  <c r="CA82" i="6"/>
  <c r="DD82" i="6" s="1"/>
  <c r="BL82" i="6"/>
  <c r="CX82" i="6" s="1"/>
  <c r="CJ83" i="6" l="1"/>
  <c r="CE83" i="6"/>
  <c r="BU83" i="6"/>
  <c r="AQ83" i="6"/>
  <c r="AV83" i="6"/>
  <c r="BF83" i="6"/>
  <c r="BZ83" i="6"/>
  <c r="BA83" i="6"/>
  <c r="BP83" i="6"/>
  <c r="BK83" i="6"/>
  <c r="CL83" i="6" l="1"/>
  <c r="AM83" i="6"/>
  <c r="BG83" i="6" l="1"/>
  <c r="CV83" i="6" s="1"/>
  <c r="AW83" i="6"/>
  <c r="CR83" i="6" s="1"/>
  <c r="BQ83" i="6"/>
  <c r="CZ83" i="6" s="1"/>
  <c r="BV83" i="6"/>
  <c r="DB83" i="6" s="1"/>
  <c r="CF83" i="6"/>
  <c r="DF83" i="6" s="1"/>
  <c r="BL83" i="6"/>
  <c r="CX83" i="6" s="1"/>
  <c r="CK83" i="6"/>
  <c r="DH83" i="6" s="1"/>
  <c r="AK83" i="6"/>
  <c r="CN83" i="6" s="1"/>
  <c r="AR83" i="6"/>
  <c r="CP83" i="6" s="1"/>
  <c r="BB83" i="6"/>
  <c r="CT83" i="6" s="1"/>
  <c r="CA83" i="6"/>
  <c r="DD83" i="6" s="1"/>
  <c r="AQ84" i="6" l="1"/>
  <c r="BK84" i="6"/>
  <c r="BU84" i="6"/>
  <c r="BA84" i="6"/>
  <c r="BF84" i="6"/>
  <c r="CJ84" i="6"/>
  <c r="BP84" i="6"/>
  <c r="CE84" i="6"/>
  <c r="BZ84" i="6"/>
  <c r="AV84" i="6"/>
  <c r="AM84" i="6" l="1"/>
  <c r="CL84" i="6"/>
  <c r="BQ84" i="6" l="1"/>
  <c r="CZ84" i="6" s="1"/>
  <c r="BG84" i="6"/>
  <c r="CV84" i="6" s="1"/>
  <c r="BV84" i="6"/>
  <c r="DB84" i="6" s="1"/>
  <c r="BL84" i="6"/>
  <c r="CX84" i="6" s="1"/>
  <c r="CF84" i="6"/>
  <c r="DF84" i="6" s="1"/>
  <c r="CK84" i="6"/>
  <c r="DH84" i="6" s="1"/>
  <c r="AW84" i="6"/>
  <c r="CR84" i="6" s="1"/>
  <c r="BB84" i="6"/>
  <c r="CT84" i="6" s="1"/>
  <c r="CA84" i="6"/>
  <c r="DD84" i="6" s="1"/>
  <c r="AK84" i="6"/>
  <c r="CN84" i="6" s="1"/>
  <c r="AR84" i="6"/>
  <c r="CP84" i="6" s="1"/>
  <c r="AV85" i="6" l="1"/>
  <c r="BK85" i="6"/>
  <c r="BU85" i="6"/>
  <c r="CE85" i="6"/>
  <c r="BZ85" i="6"/>
  <c r="AQ85" i="6"/>
  <c r="BF85" i="6"/>
  <c r="CJ85" i="6"/>
  <c r="BA85" i="6"/>
  <c r="BP85" i="6"/>
  <c r="AM85" i="6" l="1"/>
  <c r="CL85" i="6"/>
  <c r="AW85" i="6" l="1"/>
  <c r="CR85" i="6" s="1"/>
  <c r="BB85" i="6"/>
  <c r="CT85" i="6" s="1"/>
  <c r="BG85" i="6"/>
  <c r="CV85" i="6" s="1"/>
  <c r="CF85" i="6"/>
  <c r="DF85" i="6" s="1"/>
  <c r="AR85" i="6"/>
  <c r="CP85" i="6" s="1"/>
  <c r="AK85" i="6"/>
  <c r="CN85" i="6" s="1"/>
  <c r="CK85" i="6"/>
  <c r="DH85" i="6" s="1"/>
  <c r="BV85" i="6"/>
  <c r="DB85" i="6" s="1"/>
  <c r="BL85" i="6"/>
  <c r="CX85" i="6" s="1"/>
  <c r="BQ85" i="6"/>
  <c r="CZ85" i="6" s="1"/>
  <c r="CA85" i="6"/>
  <c r="DD85" i="6" s="1"/>
  <c r="BZ86" i="6" l="1"/>
  <c r="BP86" i="6"/>
  <c r="BK86" i="6"/>
  <c r="CJ86" i="6"/>
  <c r="AV86" i="6"/>
  <c r="BU86" i="6"/>
  <c r="CE86" i="6"/>
  <c r="BF86" i="6"/>
  <c r="BA86" i="6"/>
  <c r="AQ86" i="6"/>
  <c r="AM86" i="6" l="1"/>
  <c r="CL86" i="6"/>
  <c r="BQ86" i="6" l="1"/>
  <c r="CZ86" i="6" s="1"/>
  <c r="CA86" i="6"/>
  <c r="DD86" i="6" s="1"/>
  <c r="BB86" i="6"/>
  <c r="CT86" i="6" s="1"/>
  <c r="BV86" i="6"/>
  <c r="DB86" i="6" s="1"/>
  <c r="AW86" i="6"/>
  <c r="CR86" i="6" s="1"/>
  <c r="CK86" i="6"/>
  <c r="DH86" i="6" s="1"/>
  <c r="AR86" i="6"/>
  <c r="CP86" i="6" s="1"/>
  <c r="BL86" i="6"/>
  <c r="CX86" i="6" s="1"/>
  <c r="CF86" i="6"/>
  <c r="DF86" i="6" s="1"/>
  <c r="BG86" i="6"/>
  <c r="CV86" i="6" s="1"/>
  <c r="AK86" i="6"/>
  <c r="CN86" i="6" s="1"/>
  <c r="AQ87" i="6" l="1"/>
  <c r="BK87" i="6"/>
  <c r="BF87" i="6"/>
  <c r="AV87" i="6"/>
  <c r="BU87" i="6"/>
  <c r="CJ87" i="6"/>
  <c r="CE87" i="6"/>
  <c r="BZ87" i="6"/>
  <c r="BP87" i="6"/>
  <c r="BA87" i="6"/>
  <c r="AM87" i="6" l="1"/>
  <c r="CL87" i="6"/>
  <c r="BB87" i="6" l="1"/>
  <c r="CT87" i="6" s="1"/>
  <c r="BV87" i="6"/>
  <c r="DB87" i="6" s="1"/>
  <c r="BL87" i="6"/>
  <c r="CX87" i="6" s="1"/>
  <c r="BQ87" i="6"/>
  <c r="CZ87" i="6" s="1"/>
  <c r="BG87" i="6"/>
  <c r="CV87" i="6" s="1"/>
  <c r="CF87" i="6"/>
  <c r="DF87" i="6" s="1"/>
  <c r="AR87" i="6"/>
  <c r="CP87" i="6" s="1"/>
  <c r="CK87" i="6"/>
  <c r="DH87" i="6" s="1"/>
  <c r="CA87" i="6"/>
  <c r="DD87" i="6" s="1"/>
  <c r="AW87" i="6"/>
  <c r="CR87" i="6" s="1"/>
  <c r="AK87" i="6"/>
  <c r="CN87" i="6" s="1"/>
  <c r="BZ88" i="6" l="1"/>
  <c r="BU88" i="6"/>
  <c r="AV88" i="6"/>
  <c r="BP88" i="6"/>
  <c r="BA88" i="6"/>
  <c r="CJ88" i="6"/>
  <c r="CE88" i="6"/>
  <c r="BF88" i="6"/>
  <c r="AQ88" i="6"/>
  <c r="BK88" i="6"/>
  <c r="AM88" i="6" l="1"/>
  <c r="CL88" i="6"/>
  <c r="AK88" i="6" l="1"/>
  <c r="CN88" i="6" s="1"/>
  <c r="BV88" i="6"/>
  <c r="DB88" i="6" s="1"/>
  <c r="AW88" i="6"/>
  <c r="CR88" i="6" s="1"/>
  <c r="BQ88" i="6"/>
  <c r="CZ88" i="6" s="1"/>
  <c r="BL88" i="6"/>
  <c r="CX88" i="6" s="1"/>
  <c r="BG88" i="6"/>
  <c r="CV88" i="6" s="1"/>
  <c r="AR88" i="6"/>
  <c r="CP88" i="6" s="1"/>
  <c r="CF88" i="6"/>
  <c r="DF88" i="6" s="1"/>
  <c r="CA88" i="6"/>
  <c r="DD88" i="6" s="1"/>
  <c r="CK88" i="6"/>
  <c r="DH88" i="6" s="1"/>
  <c r="BB88" i="6"/>
  <c r="CT88" i="6" s="1"/>
  <c r="CJ89" i="6" l="1"/>
  <c r="AV89" i="6"/>
  <c r="AQ89" i="6"/>
  <c r="BU89" i="6"/>
  <c r="BA89" i="6"/>
  <c r="BP89" i="6"/>
  <c r="BZ89" i="6"/>
  <c r="BF89" i="6"/>
  <c r="BK89" i="6"/>
  <c r="CE89" i="6"/>
  <c r="AM89" i="6" l="1"/>
  <c r="CL89" i="6"/>
  <c r="BV89" i="6" l="1"/>
  <c r="DB89" i="6" s="1"/>
  <c r="CK89" i="6"/>
  <c r="DH89" i="6" s="1"/>
  <c r="AR89" i="6"/>
  <c r="CP89" i="6" s="1"/>
  <c r="BB89" i="6"/>
  <c r="CT89" i="6" s="1"/>
  <c r="BQ89" i="6"/>
  <c r="CZ89" i="6" s="1"/>
  <c r="AW89" i="6"/>
  <c r="CR89" i="6" s="1"/>
  <c r="BL89" i="6"/>
  <c r="CX89" i="6" s="1"/>
  <c r="CF89" i="6"/>
  <c r="DF89" i="6" s="1"/>
  <c r="AK89" i="6"/>
  <c r="CN89" i="6" s="1"/>
  <c r="BG89" i="6"/>
  <c r="CV89" i="6" s="1"/>
  <c r="CA89" i="6"/>
  <c r="DD89" i="6" s="1"/>
  <c r="BP90" i="6" l="1"/>
  <c r="CE90" i="6"/>
  <c r="AV90" i="6"/>
  <c r="BK90" i="6"/>
  <c r="BF90" i="6"/>
  <c r="BZ90" i="6"/>
  <c r="AQ90" i="6"/>
  <c r="CJ90" i="6"/>
  <c r="BU90" i="6"/>
  <c r="BA90" i="6"/>
  <c r="AM90" i="6" l="1"/>
  <c r="CL90" i="6"/>
  <c r="BV90" i="6" l="1"/>
  <c r="DB90" i="6" s="1"/>
  <c r="AW90" i="6"/>
  <c r="CR90" i="6" s="1"/>
  <c r="AR90" i="6"/>
  <c r="CP90" i="6" s="1"/>
  <c r="AK90" i="6"/>
  <c r="CN90" i="6" s="1"/>
  <c r="CF90" i="6"/>
  <c r="DF90" i="6" s="1"/>
  <c r="CA90" i="6"/>
  <c r="DD90" i="6" s="1"/>
  <c r="BL90" i="6"/>
  <c r="CX90" i="6" s="1"/>
  <c r="BQ90" i="6"/>
  <c r="CZ90" i="6" s="1"/>
  <c r="CK90" i="6"/>
  <c r="DH90" i="6" s="1"/>
  <c r="BG90" i="6"/>
  <c r="CV90" i="6" s="1"/>
  <c r="BB90" i="6"/>
  <c r="CT90" i="6" s="1"/>
  <c r="BK91" i="6" l="1"/>
  <c r="BP91" i="6"/>
  <c r="BZ91" i="6"/>
  <c r="BF91" i="6"/>
  <c r="AV91" i="6"/>
  <c r="AQ91" i="6"/>
  <c r="CE91" i="6"/>
  <c r="CJ91" i="6"/>
  <c r="BU91" i="6"/>
  <c r="BA91" i="6"/>
  <c r="AM91" i="6" l="1"/>
  <c r="CL91" i="6"/>
  <c r="BB91" i="6" l="1"/>
  <c r="CT91" i="6" s="1"/>
  <c r="BL91" i="6"/>
  <c r="CX91" i="6" s="1"/>
  <c r="AR91" i="6"/>
  <c r="CP91" i="6" s="1"/>
  <c r="BQ91" i="6"/>
  <c r="CZ91" i="6" s="1"/>
  <c r="CF91" i="6"/>
  <c r="DF91" i="6" s="1"/>
  <c r="CK91" i="6"/>
  <c r="DH91" i="6" s="1"/>
  <c r="BG91" i="6"/>
  <c r="CV91" i="6" s="1"/>
  <c r="AK91" i="6"/>
  <c r="CN91" i="6" s="1"/>
  <c r="BV91" i="6"/>
  <c r="DB91" i="6" s="1"/>
  <c r="CA91" i="6"/>
  <c r="DD91" i="6" s="1"/>
  <c r="AW91" i="6"/>
  <c r="CR91" i="6" s="1"/>
  <c r="BP92" i="6" l="1"/>
  <c r="BA92" i="6"/>
  <c r="BK92" i="6"/>
  <c r="BU92" i="6"/>
  <c r="AQ92" i="6"/>
  <c r="BZ92" i="6"/>
  <c r="CE92" i="6"/>
  <c r="CJ92" i="6"/>
  <c r="AV92" i="6"/>
  <c r="BF92" i="6"/>
  <c r="CL92" i="6" l="1"/>
  <c r="AM92" i="6"/>
  <c r="AK92" i="6" l="1"/>
  <c r="CN92" i="6" s="1"/>
  <c r="AR92" i="6"/>
  <c r="CP92" i="6" s="1"/>
  <c r="BB92" i="6"/>
  <c r="CT92" i="6" s="1"/>
  <c r="CK92" i="6"/>
  <c r="DH92" i="6" s="1"/>
  <c r="AW92" i="6"/>
  <c r="CR92" i="6" s="1"/>
  <c r="CA92" i="6"/>
  <c r="DD92" i="6" s="1"/>
  <c r="BL92" i="6"/>
  <c r="CX92" i="6" s="1"/>
  <c r="BG92" i="6"/>
  <c r="CV92" i="6" s="1"/>
  <c r="BV92" i="6"/>
  <c r="DB92" i="6" s="1"/>
  <c r="CF92" i="6"/>
  <c r="DF92" i="6" s="1"/>
  <c r="BQ92" i="6"/>
  <c r="CZ92" i="6" s="1"/>
  <c r="AQ93" i="6" l="1"/>
  <c r="BP93" i="6"/>
  <c r="AV93" i="6"/>
  <c r="BA93" i="6"/>
  <c r="CE93" i="6"/>
  <c r="BF93" i="6"/>
  <c r="BU93" i="6"/>
  <c r="BZ93" i="6"/>
  <c r="BK93" i="6"/>
  <c r="CJ93" i="6"/>
  <c r="CL93" i="6" l="1"/>
  <c r="AM93" i="6"/>
  <c r="BV93" i="6" l="1"/>
  <c r="DB93" i="6" s="1"/>
  <c r="CF93" i="6"/>
  <c r="DF93" i="6" s="1"/>
  <c r="BB93" i="6"/>
  <c r="CT93" i="6" s="1"/>
  <c r="BL93" i="6"/>
  <c r="CX93" i="6" s="1"/>
  <c r="CK93" i="6"/>
  <c r="DH93" i="6" s="1"/>
  <c r="BG93" i="6"/>
  <c r="CV93" i="6" s="1"/>
  <c r="AR93" i="6"/>
  <c r="CP93" i="6" s="1"/>
  <c r="BQ93" i="6"/>
  <c r="CZ93" i="6" s="1"/>
  <c r="AK93" i="6"/>
  <c r="CN93" i="6" s="1"/>
  <c r="CA93" i="6"/>
  <c r="DD93" i="6" s="1"/>
  <c r="AW93" i="6"/>
  <c r="CR93" i="6" s="1"/>
  <c r="BZ94" i="6" l="1"/>
  <c r="BP94" i="6"/>
  <c r="BK94" i="6"/>
  <c r="BA94" i="6"/>
  <c r="AV94" i="6"/>
  <c r="CJ94" i="6"/>
  <c r="AQ94" i="6"/>
  <c r="BF94" i="6"/>
  <c r="CE94" i="6"/>
  <c r="BU94" i="6"/>
  <c r="CL94" i="6" l="1"/>
  <c r="AM94" i="6"/>
  <c r="CK94" i="6" l="1"/>
  <c r="DH94" i="6" s="1"/>
  <c r="BQ94" i="6"/>
  <c r="CZ94" i="6" s="1"/>
  <c r="BL94" i="6"/>
  <c r="CX94" i="6" s="1"/>
  <c r="BV94" i="6"/>
  <c r="DB94" i="6" s="1"/>
  <c r="BG94" i="6"/>
  <c r="CV94" i="6" s="1"/>
  <c r="AK94" i="6"/>
  <c r="CN94" i="6" s="1"/>
  <c r="CF94" i="6"/>
  <c r="DF94" i="6" s="1"/>
  <c r="AR94" i="6"/>
  <c r="CP94" i="6" s="1"/>
  <c r="BB94" i="6"/>
  <c r="CT94" i="6" s="1"/>
  <c r="CA94" i="6"/>
  <c r="DD94" i="6" s="1"/>
  <c r="AW94" i="6"/>
  <c r="CR94" i="6" s="1"/>
  <c r="BU95" i="6" l="1"/>
  <c r="BZ95" i="6"/>
  <c r="BA95" i="6"/>
  <c r="BP95" i="6"/>
  <c r="AQ95" i="6"/>
  <c r="BK95" i="6"/>
  <c r="CE95" i="6"/>
  <c r="CJ95" i="6"/>
  <c r="AV95" i="6"/>
  <c r="BF95" i="6"/>
  <c r="AM95" i="6" l="1"/>
  <c r="CL95" i="6"/>
  <c r="CK95" i="6" l="1"/>
  <c r="DH95" i="6" s="1"/>
  <c r="BV95" i="6"/>
  <c r="DB95" i="6" s="1"/>
  <c r="BL95" i="6"/>
  <c r="CX95" i="6" s="1"/>
  <c r="AK95" i="6"/>
  <c r="CN95" i="6" s="1"/>
  <c r="BQ95" i="6"/>
  <c r="CZ95" i="6" s="1"/>
  <c r="AR95" i="6"/>
  <c r="CP95" i="6" s="1"/>
  <c r="CF95" i="6"/>
  <c r="DF95" i="6" s="1"/>
  <c r="BG95" i="6"/>
  <c r="CV95" i="6" s="1"/>
  <c r="CA95" i="6"/>
  <c r="DD95" i="6" s="1"/>
  <c r="AW95" i="6"/>
  <c r="CR95" i="6" s="1"/>
  <c r="BB95" i="6"/>
  <c r="CT95" i="6" s="1"/>
  <c r="BF96" i="6" l="1"/>
  <c r="BP96" i="6"/>
  <c r="AV96" i="6"/>
  <c r="BU96" i="6"/>
  <c r="BA96" i="6"/>
  <c r="BZ96" i="6"/>
  <c r="AQ96" i="6"/>
  <c r="CE96" i="6"/>
  <c r="BK96" i="6"/>
  <c r="CJ96" i="6"/>
  <c r="CL96" i="6" l="1"/>
  <c r="AM96" i="6"/>
  <c r="BL96" i="6" l="1"/>
  <c r="CX96" i="6" s="1"/>
  <c r="CA96" i="6"/>
  <c r="DD96" i="6" s="1"/>
  <c r="BG96" i="6"/>
  <c r="CV96" i="6" s="1"/>
  <c r="CF96" i="6"/>
  <c r="DF96" i="6" s="1"/>
  <c r="BB96" i="6"/>
  <c r="CT96" i="6" s="1"/>
  <c r="BQ96" i="6"/>
  <c r="CZ96" i="6" s="1"/>
  <c r="AW96" i="6"/>
  <c r="CR96" i="6" s="1"/>
  <c r="AK96" i="6"/>
  <c r="CN96" i="6" s="1"/>
  <c r="BV96" i="6"/>
  <c r="DB96" i="6" s="1"/>
  <c r="CK96" i="6"/>
  <c r="DH96" i="6" s="1"/>
  <c r="AR96" i="6"/>
  <c r="CP96" i="6" s="1"/>
  <c r="CE97" i="6" l="1"/>
  <c r="BA97" i="6"/>
  <c r="BZ97" i="6"/>
  <c r="BU97" i="6"/>
  <c r="BP97" i="6"/>
  <c r="BK97" i="6"/>
  <c r="BF97" i="6"/>
  <c r="AQ97" i="6"/>
  <c r="CJ97" i="6"/>
  <c r="AV97" i="6"/>
  <c r="AM97" i="6" l="1"/>
  <c r="CL97" i="6"/>
  <c r="AW97" i="6" l="1"/>
  <c r="CR97" i="6" s="1"/>
  <c r="BQ97" i="6"/>
  <c r="CZ97" i="6" s="1"/>
  <c r="CA97" i="6"/>
  <c r="DD97" i="6" s="1"/>
  <c r="BG97" i="6"/>
  <c r="CV97" i="6" s="1"/>
  <c r="BL97" i="6"/>
  <c r="CX97" i="6" s="1"/>
  <c r="AR97" i="6"/>
  <c r="CP97" i="6" s="1"/>
  <c r="CF97" i="6"/>
  <c r="DF97" i="6" s="1"/>
  <c r="BB97" i="6"/>
  <c r="CT97" i="6" s="1"/>
  <c r="BV97" i="6"/>
  <c r="DB97" i="6" s="1"/>
  <c r="CK97" i="6"/>
  <c r="DH97" i="6" s="1"/>
  <c r="AK97" i="6"/>
  <c r="CN97" i="6" s="1"/>
  <c r="BP98" i="6" l="1"/>
  <c r="AV98" i="6"/>
  <c r="BU98" i="6"/>
  <c r="BK98" i="6"/>
  <c r="BF98" i="6"/>
  <c r="AQ98" i="6"/>
  <c r="CJ98" i="6"/>
  <c r="BZ98" i="6"/>
  <c r="CE98" i="6"/>
  <c r="BA98" i="6"/>
  <c r="AM98" i="6" l="1"/>
  <c r="CL98" i="6"/>
  <c r="AR98" i="6" l="1"/>
  <c r="CP98" i="6" s="1"/>
  <c r="BG98" i="6"/>
  <c r="CV98" i="6" s="1"/>
  <c r="BB98" i="6"/>
  <c r="CT98" i="6" s="1"/>
  <c r="AK98" i="6"/>
  <c r="CN98" i="6" s="1"/>
  <c r="CA98" i="6"/>
  <c r="DD98" i="6" s="1"/>
  <c r="BQ98" i="6"/>
  <c r="CZ98" i="6" s="1"/>
  <c r="CK98" i="6"/>
  <c r="DH98" i="6" s="1"/>
  <c r="AW98" i="6"/>
  <c r="CR98" i="6" s="1"/>
  <c r="CF98" i="6"/>
  <c r="DF98" i="6" s="1"/>
  <c r="BV98" i="6"/>
  <c r="DB98" i="6" s="1"/>
  <c r="BL98" i="6"/>
  <c r="CX98" i="6" s="1"/>
  <c r="BU99" i="6" l="1"/>
  <c r="BP99" i="6"/>
  <c r="AQ99" i="6"/>
  <c r="BF99" i="6"/>
  <c r="CJ99" i="6"/>
  <c r="AV99" i="6"/>
  <c r="BA99" i="6"/>
  <c r="CE99" i="6"/>
  <c r="BK99" i="6"/>
  <c r="BZ99" i="6"/>
  <c r="CL99" i="6" l="1"/>
  <c r="AM99" i="6"/>
  <c r="BV99" i="6" l="1"/>
  <c r="DB99" i="6" s="1"/>
  <c r="CA99" i="6"/>
  <c r="DD99" i="6" s="1"/>
  <c r="AR99" i="6"/>
  <c r="CP99" i="6" s="1"/>
  <c r="BB99" i="6"/>
  <c r="CT99" i="6" s="1"/>
  <c r="CF99" i="6"/>
  <c r="DF99" i="6" s="1"/>
  <c r="CK99" i="6"/>
  <c r="DH99" i="6" s="1"/>
  <c r="BL99" i="6"/>
  <c r="CX99" i="6" s="1"/>
  <c r="BG99" i="6"/>
  <c r="CV99" i="6" s="1"/>
  <c r="AW99" i="6"/>
  <c r="CR99" i="6" s="1"/>
  <c r="BQ99" i="6"/>
  <c r="CZ99" i="6" s="1"/>
  <c r="AK99" i="6"/>
  <c r="CN99" i="6" s="1"/>
  <c r="BZ100" i="6" l="1"/>
  <c r="AQ100" i="6"/>
  <c r="CJ100" i="6"/>
  <c r="AV100" i="6"/>
  <c r="CE100" i="6"/>
  <c r="BK100" i="6"/>
  <c r="BU100" i="6"/>
  <c r="BA100" i="6"/>
  <c r="BP100" i="6"/>
  <c r="BF100" i="6"/>
  <c r="CL100" i="6" l="1"/>
  <c r="AM100" i="6"/>
  <c r="BQ100" i="6" l="1"/>
  <c r="CZ100" i="6" s="1"/>
  <c r="BL100" i="6"/>
  <c r="CX100" i="6" s="1"/>
  <c r="CA100" i="6"/>
  <c r="DD100" i="6" s="1"/>
  <c r="BG100" i="6"/>
  <c r="CV100" i="6" s="1"/>
  <c r="AK100" i="6"/>
  <c r="CN100" i="6" s="1"/>
  <c r="CF100" i="6"/>
  <c r="DF100" i="6" s="1"/>
  <c r="AW100" i="6"/>
  <c r="CR100" i="6" s="1"/>
  <c r="CK100" i="6"/>
  <c r="DH100" i="6" s="1"/>
  <c r="BV100" i="6"/>
  <c r="DB100" i="6" s="1"/>
  <c r="AR100" i="6"/>
  <c r="CP100" i="6" s="1"/>
  <c r="BB100" i="6"/>
  <c r="CT100" i="6" s="1"/>
  <c r="BA101" i="6" l="1"/>
  <c r="CE101" i="6"/>
  <c r="BZ101" i="6"/>
  <c r="AV101" i="6"/>
  <c r="BP101" i="6"/>
  <c r="AQ101" i="6"/>
  <c r="CJ101" i="6"/>
  <c r="BU101" i="6"/>
  <c r="BF101" i="6"/>
  <c r="BK101" i="6"/>
  <c r="CL101" i="6" l="1"/>
  <c r="AM101" i="6"/>
  <c r="AK101" i="6" l="1"/>
  <c r="CN101" i="6" s="1"/>
  <c r="AR101" i="6"/>
  <c r="CP101" i="6" s="1"/>
  <c r="AW101" i="6"/>
  <c r="CR101" i="6" s="1"/>
  <c r="CA101" i="6"/>
  <c r="DD101" i="6" s="1"/>
  <c r="BQ101" i="6"/>
  <c r="CZ101" i="6" s="1"/>
  <c r="BV101" i="6"/>
  <c r="DB101" i="6" s="1"/>
  <c r="CK101" i="6"/>
  <c r="DH101" i="6" s="1"/>
  <c r="BL101" i="6"/>
  <c r="CX101" i="6" s="1"/>
  <c r="BG101" i="6"/>
  <c r="CV101" i="6" s="1"/>
  <c r="BB101" i="6"/>
  <c r="CT101" i="6" s="1"/>
  <c r="CF101" i="6"/>
  <c r="DF101" i="6" s="1"/>
  <c r="AQ102" i="6" l="1"/>
  <c r="BA102" i="6"/>
  <c r="BF102" i="6"/>
  <c r="BP102" i="6"/>
  <c r="AV102" i="6"/>
  <c r="CJ102" i="6"/>
  <c r="BZ102" i="6"/>
  <c r="CE102" i="6"/>
  <c r="BU102" i="6"/>
  <c r="BK102" i="6"/>
  <c r="CL102" i="6" l="1"/>
  <c r="AM102" i="6"/>
  <c r="AR102" i="6" l="1"/>
  <c r="CP102" i="6" s="1"/>
  <c r="BG102" i="6"/>
  <c r="CV102" i="6" s="1"/>
  <c r="AK102" i="6"/>
  <c r="CN102" i="6" s="1"/>
  <c r="BL102" i="6"/>
  <c r="CX102" i="6" s="1"/>
  <c r="AW102" i="6"/>
  <c r="CR102" i="6" s="1"/>
  <c r="CK102" i="6"/>
  <c r="DH102" i="6" s="1"/>
  <c r="BV102" i="6"/>
  <c r="DB102" i="6" s="1"/>
  <c r="BB102" i="6"/>
  <c r="CT102" i="6" s="1"/>
  <c r="BQ102" i="6"/>
  <c r="CZ102" i="6" s="1"/>
  <c r="CA102" i="6"/>
  <c r="DD102" i="6" s="1"/>
  <c r="CF102" i="6"/>
  <c r="DF102" i="6" s="1"/>
  <c r="BP103" i="6" l="1"/>
  <c r="AQ103" i="6"/>
  <c r="CE103" i="6"/>
  <c r="BK103" i="6"/>
  <c r="AV103" i="6"/>
  <c r="BU103" i="6"/>
  <c r="BA103" i="6"/>
  <c r="CJ103" i="6"/>
  <c r="BZ103" i="6"/>
  <c r="BF103" i="6"/>
  <c r="AM103" i="6" l="1"/>
  <c r="CL103" i="6"/>
  <c r="AW103" i="6" l="1"/>
  <c r="CR103" i="6" s="1"/>
  <c r="AK103" i="6"/>
  <c r="CN103" i="6" s="1"/>
  <c r="CF103" i="6"/>
  <c r="DF103" i="6" s="1"/>
  <c r="BB103" i="6"/>
  <c r="CT103" i="6" s="1"/>
  <c r="AR103" i="6"/>
  <c r="CP103" i="6" s="1"/>
  <c r="BQ103" i="6"/>
  <c r="CZ103" i="6" s="1"/>
  <c r="BG103" i="6"/>
  <c r="CV103" i="6" s="1"/>
  <c r="BV103" i="6"/>
  <c r="DB103" i="6" s="1"/>
  <c r="CK103" i="6"/>
  <c r="DH103" i="6" s="1"/>
  <c r="BL103" i="6"/>
  <c r="CX103" i="6" s="1"/>
  <c r="CA103" i="6"/>
  <c r="DD103" i="6" s="1"/>
  <c r="BA104" i="6" l="1"/>
  <c r="BP104" i="6"/>
  <c r="AQ104" i="6"/>
  <c r="AV104" i="6"/>
  <c r="BK104" i="6"/>
  <c r="BZ104" i="6"/>
  <c r="CE104" i="6"/>
  <c r="BU104" i="6"/>
  <c r="BF104" i="6"/>
  <c r="CJ104" i="6"/>
  <c r="AM104" i="6" l="1"/>
  <c r="CL104" i="6"/>
  <c r="BG104" i="6" l="1"/>
  <c r="CV104" i="6" s="1"/>
  <c r="AR104" i="6"/>
  <c r="CP104" i="6" s="1"/>
  <c r="BV104" i="6"/>
  <c r="DB104" i="6" s="1"/>
  <c r="BL104" i="6"/>
  <c r="CX104" i="6" s="1"/>
  <c r="CA104" i="6"/>
  <c r="DD104" i="6" s="1"/>
  <c r="BB104" i="6"/>
  <c r="CT104" i="6" s="1"/>
  <c r="CK104" i="6"/>
  <c r="DH104" i="6" s="1"/>
  <c r="AK104" i="6"/>
  <c r="CN104" i="6" s="1"/>
  <c r="AW104" i="6"/>
  <c r="CR104" i="6" s="1"/>
  <c r="BQ104" i="6"/>
  <c r="CZ104" i="6" s="1"/>
  <c r="CF104" i="6"/>
  <c r="DF104" i="6" s="1"/>
  <c r="BK105" i="6" l="1"/>
  <c r="CJ105" i="6"/>
  <c r="BZ105" i="6"/>
  <c r="AQ105" i="6"/>
  <c r="AV105" i="6"/>
  <c r="BF105" i="6"/>
  <c r="CE105" i="6"/>
  <c r="BU105" i="6"/>
  <c r="BP105" i="6"/>
  <c r="BA105" i="6"/>
  <c r="AM105" i="6" l="1"/>
  <c r="CL105" i="6"/>
  <c r="AW105" i="6" l="1"/>
  <c r="CR105" i="6" s="1"/>
  <c r="BB105" i="6"/>
  <c r="CT105" i="6" s="1"/>
  <c r="BV105" i="6"/>
  <c r="DB105" i="6" s="1"/>
  <c r="AR105" i="6"/>
  <c r="CP105" i="6" s="1"/>
  <c r="AK105" i="6"/>
  <c r="CN105" i="6" s="1"/>
  <c r="BG105" i="6"/>
  <c r="CV105" i="6" s="1"/>
  <c r="BL105" i="6"/>
  <c r="CX105" i="6" s="1"/>
  <c r="CF105" i="6"/>
  <c r="DF105" i="6" s="1"/>
  <c r="CA105" i="6"/>
  <c r="DD105" i="6" s="1"/>
  <c r="CK105" i="6"/>
  <c r="DH105" i="6" s="1"/>
  <c r="BQ105" i="6"/>
  <c r="CZ105" i="6" s="1"/>
  <c r="BU106" i="6" l="1"/>
  <c r="BF106" i="6"/>
  <c r="AV106" i="6"/>
  <c r="BZ106" i="6"/>
  <c r="BA106" i="6"/>
  <c r="CE106" i="6"/>
  <c r="AQ106" i="6"/>
  <c r="BK106" i="6"/>
  <c r="BP106" i="6"/>
  <c r="CJ106" i="6"/>
  <c r="AM106" i="6" l="1"/>
  <c r="CL106" i="6"/>
  <c r="AK106" i="6" l="1"/>
  <c r="CN106" i="6" s="1"/>
  <c r="CF106" i="6"/>
  <c r="DF106" i="6" s="1"/>
  <c r="BB106" i="6"/>
  <c r="CT106" i="6" s="1"/>
  <c r="AR106" i="6"/>
  <c r="CP106" i="6" s="1"/>
  <c r="BV106" i="6"/>
  <c r="DB106" i="6" s="1"/>
  <c r="BQ106" i="6"/>
  <c r="CZ106" i="6" s="1"/>
  <c r="CK106" i="6"/>
  <c r="DH106" i="6" s="1"/>
  <c r="CA106" i="6"/>
  <c r="DD106" i="6" s="1"/>
  <c r="AW106" i="6"/>
  <c r="CR106" i="6" s="1"/>
  <c r="BL106" i="6"/>
  <c r="CX106" i="6" s="1"/>
  <c r="BG106" i="6"/>
  <c r="CV106" i="6" s="1"/>
  <c r="BF107" i="6" l="1"/>
  <c r="BK107" i="6"/>
  <c r="AV107" i="6"/>
  <c r="CE107" i="6"/>
  <c r="BA107" i="6"/>
  <c r="BU107" i="6"/>
  <c r="BZ107" i="6"/>
  <c r="BP107" i="6"/>
  <c r="CJ107" i="6"/>
  <c r="AQ107" i="6"/>
  <c r="CL107" i="6" l="1"/>
  <c r="AM107" i="6"/>
  <c r="AR107" i="6" l="1"/>
  <c r="CP107" i="6" s="1"/>
  <c r="AW107" i="6"/>
  <c r="CR107" i="6" s="1"/>
  <c r="AK107" i="6"/>
  <c r="CN107" i="6" s="1"/>
  <c r="CA107" i="6"/>
  <c r="DD107" i="6" s="1"/>
  <c r="BG107" i="6"/>
  <c r="CV107" i="6" s="1"/>
  <c r="BQ107" i="6"/>
  <c r="CZ107" i="6" s="1"/>
  <c r="BL107" i="6"/>
  <c r="CX107" i="6" s="1"/>
  <c r="BB107" i="6"/>
  <c r="CT107" i="6" s="1"/>
  <c r="BV107" i="6"/>
  <c r="DB107" i="6" s="1"/>
  <c r="CF107" i="6"/>
  <c r="DF107" i="6" s="1"/>
  <c r="CK107" i="6"/>
  <c r="DH107" i="6" s="1"/>
  <c r="BU108" i="6" l="1"/>
  <c r="AQ108" i="6"/>
  <c r="BA108" i="6"/>
  <c r="BP108" i="6"/>
  <c r="CJ108" i="6"/>
  <c r="BK108" i="6"/>
  <c r="CE108" i="6"/>
  <c r="BZ108" i="6"/>
  <c r="BF108" i="6"/>
  <c r="AV108" i="6"/>
  <c r="CL108" i="6" l="1"/>
  <c r="AM108" i="6"/>
  <c r="BQ108" i="6" l="1"/>
  <c r="CZ108" i="6" s="1"/>
  <c r="BL108" i="6"/>
  <c r="CX108" i="6" s="1"/>
  <c r="AK108" i="6"/>
  <c r="CN108" i="6" s="1"/>
  <c r="AR108" i="6"/>
  <c r="CP108" i="6" s="1"/>
  <c r="BB108" i="6"/>
  <c r="CT108" i="6" s="1"/>
  <c r="CF108" i="6"/>
  <c r="DF108" i="6" s="1"/>
  <c r="AW108" i="6"/>
  <c r="CR108" i="6" s="1"/>
  <c r="BV108" i="6"/>
  <c r="DB108" i="6" s="1"/>
  <c r="BG108" i="6"/>
  <c r="CV108" i="6" s="1"/>
  <c r="CK108" i="6"/>
  <c r="DH108" i="6" s="1"/>
  <c r="CA108" i="6"/>
  <c r="DD108" i="6" s="1"/>
  <c r="BK109" i="6" l="1"/>
  <c r="BZ109" i="6"/>
  <c r="BU109" i="6"/>
  <c r="BP109" i="6"/>
  <c r="AV109" i="6"/>
  <c r="AQ109" i="6"/>
  <c r="BA109" i="6"/>
  <c r="BF109" i="6"/>
  <c r="CE109" i="6"/>
  <c r="CJ109" i="6"/>
  <c r="AM109" i="6" l="1"/>
  <c r="CL109" i="6"/>
  <c r="BQ109" i="6" l="1"/>
  <c r="CZ109" i="6" s="1"/>
  <c r="AR109" i="6"/>
  <c r="CP109" i="6" s="1"/>
  <c r="AK109" i="6"/>
  <c r="CN109" i="6" s="1"/>
  <c r="BG109" i="6"/>
  <c r="CV109" i="6" s="1"/>
  <c r="CA109" i="6"/>
  <c r="DD109" i="6" s="1"/>
  <c r="CK109" i="6"/>
  <c r="DH109" i="6" s="1"/>
  <c r="BB109" i="6"/>
  <c r="CT109" i="6" s="1"/>
  <c r="BL109" i="6"/>
  <c r="CX109" i="6" s="1"/>
  <c r="BV109" i="6"/>
  <c r="DB109" i="6" s="1"/>
  <c r="AW109" i="6"/>
  <c r="CR109" i="6" s="1"/>
  <c r="CF109" i="6"/>
  <c r="DF109" i="6" s="1"/>
  <c r="BK110" i="6" l="1"/>
  <c r="BP110" i="6"/>
  <c r="BU110" i="6"/>
  <c r="AV110" i="6"/>
  <c r="BZ110" i="6"/>
  <c r="CE110" i="6"/>
  <c r="CJ110" i="6"/>
  <c r="BF110" i="6"/>
  <c r="BA110" i="6"/>
  <c r="AQ110" i="6"/>
  <c r="AM110" i="6" l="1"/>
  <c r="CL110" i="6"/>
  <c r="BB110" i="6" l="1"/>
  <c r="CT110" i="6" s="1"/>
  <c r="CA110" i="6"/>
  <c r="DD110" i="6" s="1"/>
  <c r="BL110" i="6"/>
  <c r="CX110" i="6" s="1"/>
  <c r="CF110" i="6"/>
  <c r="DF110" i="6" s="1"/>
  <c r="AW110" i="6"/>
  <c r="CR110" i="6" s="1"/>
  <c r="CK110" i="6"/>
  <c r="DH110" i="6" s="1"/>
  <c r="BV110" i="6"/>
  <c r="DB110" i="6" s="1"/>
  <c r="AK110" i="6"/>
  <c r="CN110" i="6" s="1"/>
  <c r="BQ110" i="6"/>
  <c r="CZ110" i="6" s="1"/>
  <c r="AR110" i="6"/>
  <c r="CP110" i="6" s="1"/>
  <c r="BG110" i="6"/>
  <c r="CV110" i="6" s="1"/>
  <c r="BU111" i="6" l="1"/>
  <c r="CE111" i="6"/>
  <c r="AQ111" i="6"/>
  <c r="BA111" i="6"/>
  <c r="BP111" i="6"/>
  <c r="CJ111" i="6"/>
  <c r="BZ111" i="6"/>
  <c r="AV111" i="6"/>
  <c r="BF111" i="6"/>
  <c r="BK111" i="6"/>
  <c r="AM111" i="6" l="1"/>
  <c r="CL111" i="6"/>
  <c r="AK111" i="6" l="1"/>
  <c r="CN111" i="6" s="1"/>
  <c r="AW111" i="6"/>
  <c r="CR111" i="6" s="1"/>
  <c r="BV111" i="6"/>
  <c r="DB111" i="6" s="1"/>
  <c r="BL111" i="6"/>
  <c r="CX111" i="6" s="1"/>
  <c r="CA111" i="6"/>
  <c r="DD111" i="6" s="1"/>
  <c r="CK111" i="6"/>
  <c r="DH111" i="6" s="1"/>
  <c r="BG111" i="6"/>
  <c r="CV111" i="6" s="1"/>
  <c r="CF111" i="6"/>
  <c r="DF111" i="6" s="1"/>
  <c r="BQ111" i="6"/>
  <c r="CZ111" i="6" s="1"/>
  <c r="BB111" i="6"/>
  <c r="CT111" i="6" s="1"/>
  <c r="AR111" i="6"/>
  <c r="CP111" i="6" s="1"/>
  <c r="AQ112" i="6" l="1"/>
  <c r="BF112" i="6"/>
  <c r="BK112" i="6"/>
  <c r="BU112" i="6"/>
  <c r="BZ112" i="6"/>
  <c r="BP112" i="6"/>
  <c r="BA112" i="6"/>
  <c r="CE112" i="6"/>
  <c r="AV112" i="6"/>
  <c r="CJ112" i="6"/>
  <c r="CL112" i="6" l="1"/>
  <c r="AM112" i="6"/>
  <c r="CA112" i="6" l="1"/>
  <c r="DD112" i="6" s="1"/>
  <c r="BV112" i="6"/>
  <c r="DB112" i="6" s="1"/>
  <c r="CK112" i="6"/>
  <c r="DH112" i="6" s="1"/>
  <c r="AK112" i="6"/>
  <c r="CN112" i="6" s="1"/>
  <c r="BQ112" i="6"/>
  <c r="CZ112" i="6" s="1"/>
  <c r="BB112" i="6"/>
  <c r="CT112" i="6" s="1"/>
  <c r="CF112" i="6"/>
  <c r="DF112" i="6" s="1"/>
  <c r="AW112" i="6"/>
  <c r="CR112" i="6" s="1"/>
  <c r="BL112" i="6"/>
  <c r="CX112" i="6" s="1"/>
  <c r="BG112" i="6"/>
  <c r="CV112" i="6" s="1"/>
  <c r="AR112" i="6"/>
  <c r="CP112" i="6" s="1"/>
  <c r="BF113" i="6" l="1"/>
  <c r="BU113" i="6"/>
  <c r="AQ113" i="6"/>
  <c r="AV113" i="6"/>
  <c r="BA113" i="6"/>
  <c r="BP113" i="6"/>
  <c r="BK113" i="6"/>
  <c r="CJ113" i="6"/>
  <c r="CE113" i="6"/>
  <c r="BZ113" i="6"/>
  <c r="AM113" i="6" l="1"/>
  <c r="CL113" i="6"/>
  <c r="AK113" i="6" l="1"/>
  <c r="CN113" i="6" s="1"/>
  <c r="BQ113" i="6"/>
  <c r="CZ113" i="6" s="1"/>
  <c r="BB113" i="6"/>
  <c r="CT113" i="6" s="1"/>
  <c r="CK113" i="6"/>
  <c r="DH113" i="6" s="1"/>
  <c r="BV113" i="6"/>
  <c r="DB113" i="6" s="1"/>
  <c r="CF113" i="6"/>
  <c r="DF113" i="6" s="1"/>
  <c r="CA113" i="6"/>
  <c r="DD113" i="6" s="1"/>
  <c r="BG113" i="6"/>
  <c r="CV113" i="6" s="1"/>
  <c r="AW113" i="6"/>
  <c r="CR113" i="6" s="1"/>
  <c r="BL113" i="6"/>
  <c r="CX113" i="6" s="1"/>
  <c r="AR113" i="6"/>
  <c r="CP113" i="6" s="1"/>
  <c r="CE114" i="6" l="1"/>
  <c r="BP114" i="6"/>
  <c r="BU114" i="6"/>
  <c r="AV114" i="6"/>
  <c r="BK114" i="6"/>
  <c r="CJ114" i="6"/>
  <c r="BF114" i="6"/>
  <c r="AQ114" i="6"/>
  <c r="BA114" i="6"/>
  <c r="BZ114" i="6"/>
  <c r="AM114" i="6" l="1"/>
  <c r="CL114" i="6"/>
  <c r="BQ114" i="6" l="1"/>
  <c r="CZ114" i="6" s="1"/>
  <c r="BL114" i="6"/>
  <c r="CX114" i="6" s="1"/>
  <c r="AW114" i="6"/>
  <c r="CR114" i="6" s="1"/>
  <c r="CA114" i="6"/>
  <c r="DD114" i="6" s="1"/>
  <c r="AR114" i="6"/>
  <c r="CP114" i="6" s="1"/>
  <c r="BV114" i="6"/>
  <c r="DB114" i="6" s="1"/>
  <c r="AK114" i="6"/>
  <c r="CN114" i="6" s="1"/>
  <c r="BG114" i="6"/>
  <c r="CV114" i="6" s="1"/>
  <c r="BB114" i="6"/>
  <c r="CT114" i="6" s="1"/>
  <c r="CK114" i="6"/>
  <c r="DH114" i="6" s="1"/>
  <c r="CF114" i="6"/>
  <c r="DF114" i="6" s="1"/>
  <c r="BK115" i="6" l="1"/>
  <c r="BU115" i="6"/>
  <c r="BA115" i="6"/>
  <c r="AV115" i="6"/>
  <c r="BF115" i="6"/>
  <c r="CE115" i="6"/>
  <c r="BZ115" i="6"/>
  <c r="BP115" i="6"/>
  <c r="CJ115" i="6"/>
  <c r="AQ115" i="6"/>
  <c r="CL115" i="6" l="1"/>
  <c r="AM115" i="6"/>
  <c r="BQ115" i="6" l="1"/>
  <c r="CZ115" i="6" s="1"/>
  <c r="CA115" i="6"/>
  <c r="DD115" i="6" s="1"/>
  <c r="CK115" i="6"/>
  <c r="DH115" i="6" s="1"/>
  <c r="BL115" i="6"/>
  <c r="CX115" i="6" s="1"/>
  <c r="AK115" i="6"/>
  <c r="CN115" i="6" s="1"/>
  <c r="AR115" i="6"/>
  <c r="CP115" i="6" s="1"/>
  <c r="BG115" i="6"/>
  <c r="CV115" i="6" s="1"/>
  <c r="BV115" i="6"/>
  <c r="DB115" i="6" s="1"/>
  <c r="CF115" i="6"/>
  <c r="DF115" i="6" s="1"/>
  <c r="AW115" i="6"/>
  <c r="CR115" i="6" s="1"/>
  <c r="BB115" i="6"/>
  <c r="CT115" i="6" s="1"/>
  <c r="CJ116" i="6" l="1"/>
  <c r="AQ116" i="6"/>
  <c r="AV116" i="6"/>
  <c r="CE116" i="6"/>
  <c r="BA116" i="6"/>
  <c r="BU116" i="6"/>
  <c r="BP116" i="6"/>
  <c r="BZ116" i="6"/>
  <c r="BF116" i="6"/>
  <c r="BK116" i="6"/>
  <c r="AM116" i="6" l="1"/>
  <c r="CL116" i="6"/>
  <c r="CA116" i="6" l="1"/>
  <c r="DD116" i="6" s="1"/>
  <c r="CK116" i="6"/>
  <c r="DH116" i="6" s="1"/>
  <c r="AR116" i="6"/>
  <c r="CP116" i="6" s="1"/>
  <c r="BB116" i="6"/>
  <c r="CT116" i="6" s="1"/>
  <c r="BQ116" i="6"/>
  <c r="CZ116" i="6" s="1"/>
  <c r="BV116" i="6"/>
  <c r="DB116" i="6" s="1"/>
  <c r="BG116" i="6"/>
  <c r="CV116" i="6" s="1"/>
  <c r="AK116" i="6"/>
  <c r="CN116" i="6" s="1"/>
  <c r="AW116" i="6"/>
  <c r="CR116" i="6" s="1"/>
  <c r="BL116" i="6"/>
  <c r="CX116" i="6" s="1"/>
  <c r="CF116" i="6"/>
  <c r="DF116" i="6" s="1"/>
  <c r="AV117" i="6" l="1"/>
  <c r="BP117" i="6"/>
  <c r="BF117" i="6"/>
  <c r="CE117" i="6"/>
  <c r="BZ117" i="6"/>
  <c r="BK117" i="6"/>
  <c r="AQ117" i="6"/>
  <c r="CJ117" i="6"/>
  <c r="BA117" i="6"/>
  <c r="BU117" i="6"/>
  <c r="CL117" i="6" l="1"/>
  <c r="AM117" i="6"/>
  <c r="AK117" i="6" l="1"/>
  <c r="CN117" i="6" s="1"/>
  <c r="BL117" i="6"/>
  <c r="CX117" i="6" s="1"/>
  <c r="AR117" i="6"/>
  <c r="CP117" i="6" s="1"/>
  <c r="BB117" i="6"/>
  <c r="CT117" i="6" s="1"/>
  <c r="BG117" i="6"/>
  <c r="CV117" i="6" s="1"/>
  <c r="BV117" i="6"/>
  <c r="DB117" i="6" s="1"/>
  <c r="AW117" i="6"/>
  <c r="CR117" i="6" s="1"/>
  <c r="CF117" i="6"/>
  <c r="DF117" i="6" s="1"/>
  <c r="CK117" i="6"/>
  <c r="DH117" i="6" s="1"/>
  <c r="CA117" i="6"/>
  <c r="DD117" i="6" s="1"/>
  <c r="BQ117" i="6"/>
  <c r="CZ117" i="6" s="1"/>
  <c r="BK118" i="6" l="1"/>
  <c r="BA118" i="6"/>
  <c r="BU118" i="6"/>
  <c r="BP118" i="6"/>
  <c r="AQ118" i="6"/>
  <c r="BZ118" i="6"/>
  <c r="AV118" i="6"/>
  <c r="CJ118" i="6"/>
  <c r="CE118" i="6"/>
  <c r="BF118" i="6"/>
  <c r="AM118" i="6" l="1"/>
  <c r="CL118" i="6"/>
  <c r="AR118" i="6" l="1"/>
  <c r="CP118" i="6" s="1"/>
  <c r="CF118" i="6"/>
  <c r="DF118" i="6" s="1"/>
  <c r="CA118" i="6"/>
  <c r="DD118" i="6" s="1"/>
  <c r="BG118" i="6"/>
  <c r="CV118" i="6" s="1"/>
  <c r="AK118" i="6"/>
  <c r="CN118" i="6" s="1"/>
  <c r="BV118" i="6"/>
  <c r="DB118" i="6" s="1"/>
  <c r="CK118" i="6"/>
  <c r="DH118" i="6" s="1"/>
  <c r="AW118" i="6"/>
  <c r="CR118" i="6" s="1"/>
  <c r="BQ118" i="6"/>
  <c r="CZ118" i="6" s="1"/>
  <c r="BL118" i="6"/>
  <c r="CX118" i="6" s="1"/>
  <c r="BB118" i="6"/>
  <c r="CT118" i="6" s="1"/>
  <c r="BA119" i="6" l="1"/>
  <c r="AV119" i="6"/>
  <c r="BU119" i="6"/>
  <c r="BF119" i="6"/>
  <c r="BZ119" i="6"/>
  <c r="BP119" i="6"/>
  <c r="AQ119" i="6"/>
  <c r="CE119" i="6"/>
  <c r="BK119" i="6"/>
  <c r="CJ119" i="6"/>
  <c r="CL119" i="6" l="1"/>
  <c r="AM119" i="6"/>
  <c r="U21" i="6"/>
  <c r="V21" i="6" s="1"/>
  <c r="BB119" i="6" l="1"/>
  <c r="CT119" i="6" s="1"/>
  <c r="BV119" i="6"/>
  <c r="DB119" i="6" s="1"/>
  <c r="BQ119" i="6"/>
  <c r="CZ119" i="6" s="1"/>
  <c r="AK119" i="6"/>
  <c r="CN119" i="6" s="1"/>
  <c r="CA119" i="6"/>
  <c r="DD119" i="6" s="1"/>
  <c r="AR119" i="6"/>
  <c r="CP119" i="6" s="1"/>
  <c r="CK119" i="6"/>
  <c r="DH119" i="6" s="1"/>
  <c r="CF119" i="6"/>
  <c r="DF119" i="6" s="1"/>
  <c r="BG119" i="6"/>
  <c r="CV119" i="6" s="1"/>
  <c r="AW119" i="6"/>
  <c r="CR119" i="6" s="1"/>
  <c r="BL119" i="6"/>
  <c r="CX119" i="6" s="1"/>
  <c r="U22" i="6"/>
  <c r="V22" i="6" s="1"/>
  <c r="BU120" i="6" l="1"/>
  <c r="BA120" i="6"/>
  <c r="AV120" i="6"/>
  <c r="BZ120" i="6"/>
  <c r="CJ120" i="6"/>
  <c r="BK120" i="6"/>
  <c r="BP120" i="6"/>
  <c r="AQ120" i="6"/>
  <c r="BF120" i="6"/>
  <c r="CE120" i="6"/>
  <c r="U23" i="6"/>
  <c r="AM120" i="6" l="1"/>
  <c r="CL120" i="6"/>
  <c r="Y23" i="6"/>
  <c r="Z23" i="6"/>
  <c r="X23" i="6"/>
  <c r="V23" i="6"/>
  <c r="CK120" i="6" l="1"/>
  <c r="DH120" i="6" s="1"/>
  <c r="BV120" i="6"/>
  <c r="DB120" i="6" s="1"/>
  <c r="BQ120" i="6"/>
  <c r="CZ120" i="6" s="1"/>
  <c r="AR120" i="6"/>
  <c r="CP120" i="6" s="1"/>
  <c r="CF120" i="6"/>
  <c r="DF120" i="6" s="1"/>
  <c r="BL120" i="6"/>
  <c r="CX120" i="6" s="1"/>
  <c r="BG120" i="6"/>
  <c r="CV120" i="6" s="1"/>
  <c r="AW120" i="6"/>
  <c r="CR120" i="6" s="1"/>
  <c r="AK120" i="6"/>
  <c r="CN120" i="6" s="1"/>
  <c r="CA120" i="6"/>
  <c r="DD120" i="6" s="1"/>
  <c r="BB120" i="6"/>
  <c r="CT120" i="6" s="1"/>
  <c r="BA121" i="6" s="1"/>
  <c r="U25" i="6"/>
  <c r="BK121" i="6" l="1"/>
  <c r="AV121" i="6"/>
  <c r="BF121" i="6"/>
  <c r="AQ121" i="6"/>
  <c r="BP121" i="6"/>
  <c r="BZ121" i="6"/>
  <c r="BU121" i="6"/>
  <c r="CJ121" i="6"/>
  <c r="CE121" i="6"/>
  <c r="Y25" i="6"/>
  <c r="Z25" i="6"/>
  <c r="X25" i="6"/>
  <c r="V25" i="6"/>
  <c r="CL121" i="6" l="1"/>
  <c r="AM121" i="6"/>
  <c r="U26" i="6"/>
  <c r="V26" i="6" s="1"/>
  <c r="AW121" i="6" l="1"/>
  <c r="CR121" i="6" s="1"/>
  <c r="BV121" i="6"/>
  <c r="DB121" i="6" s="1"/>
  <c r="CA121" i="6"/>
  <c r="DD121" i="6" s="1"/>
  <c r="BQ121" i="6"/>
  <c r="CZ121" i="6" s="1"/>
  <c r="BG121" i="6"/>
  <c r="CV121" i="6" s="1"/>
  <c r="CF121" i="6"/>
  <c r="DF121" i="6" s="1"/>
  <c r="CK121" i="6"/>
  <c r="DH121" i="6" s="1"/>
  <c r="BB121" i="6"/>
  <c r="CT121" i="6" s="1"/>
  <c r="AK121" i="6"/>
  <c r="CN121" i="6" s="1"/>
  <c r="BL121" i="6"/>
  <c r="CX121" i="6" s="1"/>
  <c r="AR121" i="6"/>
  <c r="CP121" i="6" s="1"/>
  <c r="DL81" i="6" s="1"/>
  <c r="U28" i="6"/>
  <c r="Q21" i="6" l="1"/>
  <c r="DM81" i="6"/>
  <c r="Y28" i="6"/>
  <c r="Z28" i="6"/>
  <c r="X28" i="6"/>
  <c r="V28" i="6"/>
  <c r="DN81" i="6" l="1"/>
  <c r="R21" i="6"/>
  <c r="U29" i="6"/>
  <c r="T21" i="6" l="1"/>
  <c r="S21" i="6"/>
  <c r="Y29" i="6"/>
  <c r="Z29" i="6"/>
  <c r="X29" i="6"/>
  <c r="V29" i="6"/>
  <c r="U30" i="6" l="1"/>
  <c r="V30" i="6" s="1"/>
  <c r="U27" i="6" l="1"/>
  <c r="Z27" i="6" l="1"/>
  <c r="X27" i="6"/>
  <c r="Y27" i="6"/>
  <c r="V27" i="6"/>
  <c r="U31" i="6" l="1"/>
  <c r="Z31" i="6" l="1"/>
  <c r="X31" i="6"/>
  <c r="Y31" i="6"/>
  <c r="V31" i="6"/>
  <c r="U32" i="6" l="1"/>
  <c r="Y32" i="6" l="1"/>
  <c r="Z32" i="6"/>
  <c r="X32" i="6"/>
  <c r="V32" i="6"/>
  <c r="U33" i="6" l="1"/>
  <c r="Z33" i="6" l="1"/>
  <c r="X33" i="6"/>
  <c r="Y33" i="6"/>
  <c r="V33" i="6"/>
  <c r="U34" i="6" l="1"/>
  <c r="Z34" i="6" l="1"/>
  <c r="X34" i="6"/>
  <c r="Y34" i="6"/>
  <c r="V34" i="6"/>
  <c r="U35" i="6" l="1"/>
  <c r="Y35" i="6" l="1"/>
  <c r="Z35" i="6"/>
  <c r="X35" i="6"/>
  <c r="V35" i="6"/>
  <c r="U36" i="6" l="1"/>
  <c r="V36" i="6" s="1"/>
  <c r="U37" i="6" l="1"/>
  <c r="Y37" i="6" l="1"/>
  <c r="Z37" i="6"/>
  <c r="X37" i="6"/>
  <c r="V37" i="6"/>
  <c r="U38" i="6" l="1"/>
  <c r="Z38" i="6" l="1"/>
  <c r="X38" i="6"/>
  <c r="Y38" i="6"/>
  <c r="V38" i="6"/>
  <c r="U39" i="6" l="1"/>
  <c r="Z39" i="6" l="1"/>
  <c r="X39" i="6"/>
  <c r="Y39" i="6"/>
  <c r="V39" i="6"/>
  <c r="U40" i="6" l="1"/>
  <c r="Y40" i="6" l="1"/>
  <c r="Z40" i="6"/>
  <c r="X40" i="6"/>
  <c r="V40" i="6"/>
  <c r="U24" i="6" l="1"/>
  <c r="Y24" i="6" l="1"/>
  <c r="Z24" i="6"/>
  <c r="X24" i="6"/>
  <c r="V24" i="6"/>
  <c r="U41" i="6" l="1"/>
  <c r="Y41" i="6" l="1"/>
  <c r="Z41" i="6"/>
  <c r="X41" i="6"/>
  <c r="V41" i="6"/>
  <c r="U42" i="6" l="1"/>
  <c r="Z42" i="6" l="1"/>
  <c r="X42" i="6"/>
  <c r="Y42" i="6"/>
  <c r="V42" i="6"/>
  <c r="U43" i="6" l="1"/>
  <c r="V43" i="6" s="1"/>
  <c r="U45" i="6" l="1"/>
  <c r="X45" i="6" l="1"/>
  <c r="Y45" i="6"/>
  <c r="Z45" i="6"/>
  <c r="V45" i="6"/>
  <c r="U44" i="6" l="1"/>
  <c r="V44" i="6" s="1"/>
  <c r="U46" i="6" l="1"/>
  <c r="V46" i="6" s="1"/>
  <c r="AQ29" i="30" l="1"/>
  <c r="AV29" i="30"/>
  <c r="BA29" i="30"/>
  <c r="BF29" i="30"/>
  <c r="BK29" i="30"/>
  <c r="BP29" i="30"/>
  <c r="BU29" i="30"/>
  <c r="BZ29" i="30"/>
  <c r="CE29" i="30"/>
  <c r="AM29" i="30" s="1"/>
  <c r="CJ29" i="30"/>
  <c r="AQ59" i="30"/>
  <c r="AV64" i="30"/>
  <c r="CL29" i="30" l="1"/>
  <c r="AW29" i="30" s="1"/>
  <c r="CR29" i="30" s="1"/>
  <c r="AK29" i="30"/>
  <c r="CN29" i="30" s="1"/>
  <c r="CF29" i="30" l="1"/>
  <c r="DF29" i="30" s="1"/>
  <c r="BV29" i="30"/>
  <c r="DB29" i="30" s="1"/>
  <c r="BL29" i="30"/>
  <c r="CX29" i="30" s="1"/>
  <c r="AR29" i="30"/>
  <c r="CP29" i="30" s="1"/>
  <c r="CK29" i="30"/>
  <c r="DH29" i="30" s="1"/>
  <c r="CA29" i="30"/>
  <c r="DD29" i="30" s="1"/>
  <c r="BB29" i="30"/>
  <c r="CT29" i="30" s="1"/>
  <c r="BQ29" i="30"/>
  <c r="CZ29" i="30" s="1"/>
  <c r="BG29" i="30"/>
  <c r="CV29" i="30" s="1"/>
  <c r="AV30" i="30"/>
  <c r="BK30" i="30"/>
  <c r="CE30" i="30"/>
  <c r="CJ30" i="30"/>
  <c r="BU30" i="30"/>
  <c r="BZ30" i="30"/>
  <c r="BP30" i="30"/>
  <c r="BA30" i="30"/>
  <c r="BF30" i="30"/>
  <c r="AQ30" i="30"/>
  <c r="CL30" i="30" l="1"/>
  <c r="AM30" i="30"/>
  <c r="CK30" i="30" l="1"/>
  <c r="DH30" i="30" s="1"/>
  <c r="AR30" i="30"/>
  <c r="CP30" i="30" s="1"/>
  <c r="BB30" i="30"/>
  <c r="CT30" i="30" s="1"/>
  <c r="BL30" i="30"/>
  <c r="CX30" i="30" s="1"/>
  <c r="BQ30" i="30"/>
  <c r="CZ30" i="30" s="1"/>
  <c r="BV30" i="30"/>
  <c r="DB30" i="30" s="1"/>
  <c r="AK30" i="30"/>
  <c r="CN30" i="30" s="1"/>
  <c r="DK82" i="30" s="1"/>
  <c r="AW30" i="30"/>
  <c r="CR30" i="30" s="1"/>
  <c r="BG30" i="30"/>
  <c r="CV30" i="30" s="1"/>
  <c r="CA30" i="30"/>
  <c r="DD30" i="30" s="1"/>
  <c r="CF30" i="30"/>
  <c r="DF30" i="30" s="1"/>
  <c r="P25" i="30" l="1"/>
  <c r="V25" i="30" s="1"/>
  <c r="DM82" i="30"/>
  <c r="AV31" i="30"/>
  <c r="BU31" i="30"/>
  <c r="BP31" i="30"/>
  <c r="BF31" i="30"/>
  <c r="BK31" i="30"/>
  <c r="BA31" i="30"/>
  <c r="BZ31" i="30"/>
  <c r="CE31" i="30"/>
  <c r="CJ31" i="30"/>
  <c r="AQ31" i="30"/>
  <c r="DN82" i="30" l="1"/>
  <c r="I36" i="30"/>
  <c r="J36" i="30" s="1"/>
  <c r="K36" i="30" s="1"/>
  <c r="R25" i="30"/>
  <c r="I30" i="30"/>
  <c r="J30" i="30" s="1"/>
  <c r="CL31" i="30"/>
  <c r="AM31" i="30"/>
  <c r="K30" i="30" l="1"/>
  <c r="T25" i="30"/>
  <c r="S25" i="30"/>
  <c r="AK31" i="30"/>
  <c r="CN31" i="30" s="1"/>
  <c r="DK44" i="30" s="1"/>
  <c r="AW31" i="30"/>
  <c r="CR31" i="30" s="1"/>
  <c r="BG31" i="30"/>
  <c r="CV31" i="30" s="1"/>
  <c r="BQ31" i="30"/>
  <c r="CZ31" i="30" s="1"/>
  <c r="CA31" i="30"/>
  <c r="DD31" i="30" s="1"/>
  <c r="CK31" i="30"/>
  <c r="DH31" i="30" s="1"/>
  <c r="AR31" i="30"/>
  <c r="CP31" i="30" s="1"/>
  <c r="BB31" i="30"/>
  <c r="CT31" i="30" s="1"/>
  <c r="BL31" i="30"/>
  <c r="CX31" i="30" s="1"/>
  <c r="BV31" i="30"/>
  <c r="DB31" i="30" s="1"/>
  <c r="CF31" i="30"/>
  <c r="DF31" i="30" s="1"/>
  <c r="AQ32" i="30" l="1"/>
  <c r="BA32" i="30"/>
  <c r="BK32" i="30"/>
  <c r="CE32" i="30"/>
  <c r="AV32" i="30"/>
  <c r="BU32" i="30"/>
  <c r="BF32" i="30"/>
  <c r="BP32" i="30"/>
  <c r="CJ32" i="30"/>
  <c r="BZ32" i="30"/>
  <c r="P26" i="30"/>
  <c r="V26" i="30" s="1"/>
  <c r="DM44" i="30"/>
  <c r="CL32" i="30" l="1"/>
  <c r="AM32" i="30"/>
  <c r="I59" i="30"/>
  <c r="J59" i="30" s="1"/>
  <c r="K59" i="30" s="1"/>
  <c r="DN44" i="30"/>
  <c r="I42" i="30"/>
  <c r="J42" i="30" s="1"/>
  <c r="I31" i="30"/>
  <c r="J31" i="30" s="1"/>
  <c r="R26" i="30"/>
  <c r="I33" i="30"/>
  <c r="J33" i="30" s="1"/>
  <c r="K33" i="30" l="1"/>
  <c r="S26" i="30"/>
  <c r="T26" i="30"/>
  <c r="K31" i="30"/>
  <c r="F13" i="30"/>
  <c r="K42" i="30"/>
  <c r="BQ32" i="30"/>
  <c r="CZ32" i="30" s="1"/>
  <c r="CK32" i="30"/>
  <c r="DH32" i="30" s="1"/>
  <c r="AR32" i="30"/>
  <c r="CP32" i="30" s="1"/>
  <c r="BB32" i="30"/>
  <c r="CT32" i="30" s="1"/>
  <c r="BL32" i="30"/>
  <c r="CX32" i="30" s="1"/>
  <c r="BV32" i="30"/>
  <c r="DB32" i="30" s="1"/>
  <c r="CA32" i="30"/>
  <c r="DD32" i="30" s="1"/>
  <c r="AK32" i="30"/>
  <c r="CN32" i="30" s="1"/>
  <c r="AW32" i="30"/>
  <c r="CR32" i="30" s="1"/>
  <c r="BG32" i="30"/>
  <c r="CV32" i="30" s="1"/>
  <c r="CF32" i="30"/>
  <c r="DF32" i="30" s="1"/>
  <c r="BK33" i="30" l="1"/>
  <c r="BA33" i="30"/>
  <c r="BF33" i="30"/>
  <c r="CJ33" i="30"/>
  <c r="BP33" i="30"/>
  <c r="BU33" i="30"/>
  <c r="BZ33" i="30"/>
  <c r="CE33" i="30"/>
  <c r="AV33" i="30"/>
  <c r="AQ33" i="30"/>
  <c r="CL33" i="30" l="1"/>
  <c r="AM33" i="30"/>
  <c r="AK33" i="30" l="1"/>
  <c r="CN33" i="30" s="1"/>
  <c r="AW33" i="30"/>
  <c r="CR33" i="30" s="1"/>
  <c r="BG33" i="30"/>
  <c r="CV33" i="30" s="1"/>
  <c r="CK33" i="30"/>
  <c r="DH33" i="30" s="1"/>
  <c r="BV33" i="30"/>
  <c r="DB33" i="30" s="1"/>
  <c r="CF33" i="30"/>
  <c r="DF33" i="30" s="1"/>
  <c r="AR33" i="30"/>
  <c r="CP33" i="30" s="1"/>
  <c r="BB33" i="30"/>
  <c r="CT33" i="30" s="1"/>
  <c r="BL33" i="30"/>
  <c r="CX33" i="30" s="1"/>
  <c r="BQ33" i="30"/>
  <c r="CZ33" i="30" s="1"/>
  <c r="CA33" i="30"/>
  <c r="DD33" i="30" s="1"/>
  <c r="AV34" i="30" l="1"/>
  <c r="BP34" i="30"/>
  <c r="BK34" i="30"/>
  <c r="BZ34" i="30"/>
  <c r="BA34" i="30"/>
  <c r="CJ34" i="30"/>
  <c r="BF34" i="30"/>
  <c r="BU34" i="30"/>
  <c r="CE34" i="30"/>
  <c r="AQ34" i="30"/>
  <c r="CL34" i="30" l="1"/>
  <c r="AM34" i="30"/>
  <c r="CK34" i="30" l="1"/>
  <c r="DH34" i="30" s="1"/>
  <c r="AR34" i="30"/>
  <c r="CP34" i="30" s="1"/>
  <c r="BB34" i="30"/>
  <c r="CT34" i="30" s="1"/>
  <c r="BL34" i="30"/>
  <c r="CX34" i="30" s="1"/>
  <c r="BQ34" i="30"/>
  <c r="CZ34" i="30" s="1"/>
  <c r="BV34" i="30"/>
  <c r="DB34" i="30" s="1"/>
  <c r="AK34" i="30"/>
  <c r="CN34" i="30" s="1"/>
  <c r="AW34" i="30"/>
  <c r="CR34" i="30" s="1"/>
  <c r="BG34" i="30"/>
  <c r="CV34" i="30" s="1"/>
  <c r="CA34" i="30"/>
  <c r="DD34" i="30" s="1"/>
  <c r="CF34" i="30"/>
  <c r="DF34" i="30" s="1"/>
  <c r="BA35" i="30" l="1"/>
  <c r="BK35" i="30"/>
  <c r="CJ35" i="30"/>
  <c r="BU35" i="30"/>
  <c r="BF35" i="30"/>
  <c r="BZ35" i="30"/>
  <c r="BP35" i="30"/>
  <c r="CE35" i="30"/>
  <c r="AV35" i="30"/>
  <c r="AQ35" i="30"/>
  <c r="AM35" i="30" s="1"/>
  <c r="CL35" i="30" l="1"/>
  <c r="AW35" i="30" s="1"/>
  <c r="CR35" i="30" s="1"/>
  <c r="BQ35" i="30"/>
  <c r="CZ35" i="30" s="1"/>
  <c r="CK35" i="30"/>
  <c r="DH35" i="30" s="1"/>
  <c r="CA35" i="30" l="1"/>
  <c r="DD35" i="30" s="1"/>
  <c r="AK35" i="30"/>
  <c r="CN35" i="30" s="1"/>
  <c r="BG35" i="30"/>
  <c r="CV35" i="30" s="1"/>
  <c r="AR35" i="30"/>
  <c r="CP35" i="30" s="1"/>
  <c r="BV35" i="30"/>
  <c r="DB35" i="30" s="1"/>
  <c r="BL35" i="30"/>
  <c r="CX35" i="30" s="1"/>
  <c r="BB35" i="30"/>
  <c r="CT35" i="30" s="1"/>
  <c r="CF35" i="30"/>
  <c r="DF35" i="30" s="1"/>
  <c r="AQ36" i="30"/>
  <c r="AV36" i="30"/>
  <c r="BK36" i="30"/>
  <c r="BU36" i="30"/>
  <c r="BP36" i="30"/>
  <c r="CJ36" i="30"/>
  <c r="BZ36" i="30"/>
  <c r="CE36" i="30"/>
  <c r="BF36" i="30"/>
  <c r="BA36" i="30"/>
  <c r="CL36" i="30" l="1"/>
  <c r="AM36" i="30"/>
  <c r="AW36" i="30" l="1"/>
  <c r="CR36" i="30" s="1"/>
  <c r="AR36" i="30"/>
  <c r="CP36" i="30" s="1"/>
  <c r="BG36" i="30"/>
  <c r="CV36" i="30" s="1"/>
  <c r="BQ36" i="30"/>
  <c r="CZ36" i="30" s="1"/>
  <c r="AK36" i="30"/>
  <c r="CN36" i="30" s="1"/>
  <c r="CA36" i="30"/>
  <c r="DD36" i="30" s="1"/>
  <c r="BB36" i="30"/>
  <c r="CT36" i="30" s="1"/>
  <c r="BL36" i="30"/>
  <c r="CX36" i="30" s="1"/>
  <c r="BV36" i="30"/>
  <c r="DB36" i="30" s="1"/>
  <c r="CF36" i="30"/>
  <c r="DF36" i="30" s="1"/>
  <c r="CK36" i="30"/>
  <c r="DH36" i="30" s="1"/>
  <c r="CE37" i="30" l="1"/>
  <c r="BZ37" i="30"/>
  <c r="BU37" i="30"/>
  <c r="BA37" i="30"/>
  <c r="BF37" i="30"/>
  <c r="CJ37" i="30"/>
  <c r="BP37" i="30"/>
  <c r="BK37" i="30"/>
  <c r="AQ37" i="30"/>
  <c r="AV37" i="30"/>
  <c r="CL37" i="30" l="1"/>
  <c r="AM37" i="30"/>
  <c r="BG37" i="30" l="1"/>
  <c r="CV37" i="30" s="1"/>
  <c r="BQ37" i="30"/>
  <c r="CZ37" i="30" s="1"/>
  <c r="CA37" i="30"/>
  <c r="DD37" i="30" s="1"/>
  <c r="CK37" i="30"/>
  <c r="DH37" i="30" s="1"/>
  <c r="AW37" i="30"/>
  <c r="CR37" i="30" s="1"/>
  <c r="BB37" i="30"/>
  <c r="CT37" i="30" s="1"/>
  <c r="BL37" i="30"/>
  <c r="CX37" i="30" s="1"/>
  <c r="BV37" i="30"/>
  <c r="DB37" i="30" s="1"/>
  <c r="CF37" i="30"/>
  <c r="DF37" i="30" s="1"/>
  <c r="AR37" i="30"/>
  <c r="CP37" i="30" s="1"/>
  <c r="AK37" i="30"/>
  <c r="CN37" i="30" s="1"/>
  <c r="AQ38" i="30" l="1"/>
  <c r="BP38" i="30"/>
  <c r="AV38" i="30"/>
  <c r="CJ38" i="30"/>
  <c r="BU38" i="30"/>
  <c r="CE38" i="30"/>
  <c r="BK38" i="30"/>
  <c r="BZ38" i="30"/>
  <c r="BA38" i="30"/>
  <c r="BF38" i="30"/>
  <c r="CL38" i="30" l="1"/>
  <c r="AM38" i="30"/>
  <c r="AK38" i="30" l="1"/>
  <c r="CN38" i="30" s="1"/>
  <c r="BV38" i="30"/>
  <c r="DB38" i="30" s="1"/>
  <c r="AR38" i="30"/>
  <c r="CP38" i="30" s="1"/>
  <c r="BB38" i="30"/>
  <c r="CT38" i="30" s="1"/>
  <c r="BL38" i="30"/>
  <c r="CX38" i="30" s="1"/>
  <c r="CA38" i="30"/>
  <c r="DD38" i="30" s="1"/>
  <c r="CK38" i="30"/>
  <c r="DH38" i="30" s="1"/>
  <c r="AW38" i="30"/>
  <c r="CR38" i="30" s="1"/>
  <c r="BG38" i="30"/>
  <c r="CV38" i="30" s="1"/>
  <c r="BQ38" i="30"/>
  <c r="CZ38" i="30" s="1"/>
  <c r="CF38" i="30"/>
  <c r="DF38" i="30" s="1"/>
  <c r="BU39" i="30" l="1"/>
  <c r="CJ39" i="30"/>
  <c r="BF39" i="30"/>
  <c r="BA39" i="30"/>
  <c r="BP39" i="30"/>
  <c r="BK39" i="30"/>
  <c r="BZ39" i="30"/>
  <c r="CE39" i="30"/>
  <c r="AQ39" i="30"/>
  <c r="AV39" i="30"/>
  <c r="CL39" i="30" l="1"/>
  <c r="AM39" i="30"/>
  <c r="AK39" i="30" l="1"/>
  <c r="CN39" i="30" s="1"/>
  <c r="AW39" i="30"/>
  <c r="CR39" i="30" s="1"/>
  <c r="AR39" i="30"/>
  <c r="CP39" i="30" s="1"/>
  <c r="BG39" i="30"/>
  <c r="CV39" i="30" s="1"/>
  <c r="BQ39" i="30"/>
  <c r="CZ39" i="30" s="1"/>
  <c r="CF39" i="30"/>
  <c r="DF39" i="30" s="1"/>
  <c r="BV39" i="30"/>
  <c r="DB39" i="30" s="1"/>
  <c r="BB39" i="30"/>
  <c r="CT39" i="30" s="1"/>
  <c r="BL39" i="30"/>
  <c r="CX39" i="30" s="1"/>
  <c r="CA39" i="30"/>
  <c r="DD39" i="30" s="1"/>
  <c r="CK39" i="30"/>
  <c r="DH39" i="30" s="1"/>
  <c r="BZ40" i="30" l="1"/>
  <c r="BA40" i="30"/>
  <c r="BF40" i="30"/>
  <c r="BK40" i="30"/>
  <c r="BU40" i="30"/>
  <c r="BP40" i="30"/>
  <c r="CJ40" i="30"/>
  <c r="CE40" i="30"/>
  <c r="AQ40" i="30"/>
  <c r="AV40" i="30"/>
  <c r="CL40" i="30" l="1"/>
  <c r="AM40" i="30"/>
  <c r="AW40" i="30" l="1"/>
  <c r="CR40" i="30" s="1"/>
  <c r="CK40" i="30"/>
  <c r="DH40" i="30" s="1"/>
  <c r="BQ40" i="30"/>
  <c r="CZ40" i="30" s="1"/>
  <c r="BB40" i="30"/>
  <c r="CT40" i="30" s="1"/>
  <c r="BL40" i="30"/>
  <c r="CX40" i="30" s="1"/>
  <c r="CA40" i="30"/>
  <c r="DD40" i="30" s="1"/>
  <c r="AK40" i="30"/>
  <c r="CN40" i="30" s="1"/>
  <c r="CF40" i="30"/>
  <c r="DF40" i="30" s="1"/>
  <c r="AR40" i="30"/>
  <c r="CP40" i="30" s="1"/>
  <c r="BG40" i="30"/>
  <c r="CV40" i="30" s="1"/>
  <c r="BV40" i="30"/>
  <c r="DB40" i="30" s="1"/>
  <c r="AV41" i="30" l="1"/>
  <c r="DK60" i="30"/>
  <c r="BK41" i="30"/>
  <c r="CE41" i="30"/>
  <c r="BZ41" i="30"/>
  <c r="BF41" i="30"/>
  <c r="CJ41" i="30"/>
  <c r="BP41" i="30"/>
  <c r="BA41" i="30"/>
  <c r="BU41" i="30"/>
  <c r="AQ41" i="30"/>
  <c r="AM41" i="30" l="1"/>
  <c r="CL41" i="30"/>
  <c r="AW41" i="30" l="1"/>
  <c r="CR41" i="30" s="1"/>
  <c r="DL60" i="30" s="1"/>
  <c r="DM60" i="30" s="1"/>
  <c r="DN60" i="30" s="1"/>
  <c r="AR41" i="30"/>
  <c r="CP41" i="30" s="1"/>
  <c r="BG41" i="30"/>
  <c r="CV41" i="30" s="1"/>
  <c r="BQ41" i="30"/>
  <c r="CZ41" i="30" s="1"/>
  <c r="CA41" i="30"/>
  <c r="DD41" i="30" s="1"/>
  <c r="CK41" i="30"/>
  <c r="DH41" i="30" s="1"/>
  <c r="BB41" i="30"/>
  <c r="CT41" i="30" s="1"/>
  <c r="BL41" i="30"/>
  <c r="CX41" i="30" s="1"/>
  <c r="BV41" i="30"/>
  <c r="DB41" i="30" s="1"/>
  <c r="CF41" i="30"/>
  <c r="DF41" i="30" s="1"/>
  <c r="AK41" i="30"/>
  <c r="CN41" i="30" s="1"/>
  <c r="DK28" i="30" s="1"/>
  <c r="DM28" i="30" l="1"/>
  <c r="P28" i="30"/>
  <c r="V28" i="30" s="1"/>
  <c r="BP42" i="30"/>
  <c r="BU42" i="30"/>
  <c r="CJ42" i="30"/>
  <c r="BZ42" i="30"/>
  <c r="AV42" i="30"/>
  <c r="BF42" i="30"/>
  <c r="BA42" i="30"/>
  <c r="CE42" i="30"/>
  <c r="BK42" i="30"/>
  <c r="AQ42" i="30"/>
  <c r="AM42" i="30" l="1"/>
  <c r="CL42" i="30"/>
  <c r="R28" i="30"/>
  <c r="DN28" i="30"/>
  <c r="I47" i="30"/>
  <c r="J47" i="30" s="1"/>
  <c r="K47" i="30" s="1"/>
  <c r="I38" i="30"/>
  <c r="J38" i="30" s="1"/>
  <c r="K38" i="30" s="1"/>
  <c r="T28" i="30" l="1"/>
  <c r="S28" i="30"/>
  <c r="AK42" i="30"/>
  <c r="CN42" i="30" s="1"/>
  <c r="AV43" i="30" s="1"/>
  <c r="BG42" i="30"/>
  <c r="CV42" i="30" s="1"/>
  <c r="AR42" i="30"/>
  <c r="CP42" i="30" s="1"/>
  <c r="BB42" i="30"/>
  <c r="CT42" i="30" s="1"/>
  <c r="BV42" i="30"/>
  <c r="DB42" i="30" s="1"/>
  <c r="BQ42" i="30"/>
  <c r="CZ42" i="30" s="1"/>
  <c r="CK42" i="30"/>
  <c r="DH42" i="30" s="1"/>
  <c r="AW42" i="30"/>
  <c r="CR42" i="30" s="1"/>
  <c r="BL42" i="30"/>
  <c r="CX42" i="30" s="1"/>
  <c r="CA42" i="30"/>
  <c r="DD42" i="30" s="1"/>
  <c r="CF42" i="30"/>
  <c r="DF42" i="30" s="1"/>
  <c r="BP43" i="30" l="1"/>
  <c r="BF43" i="30"/>
  <c r="BZ43" i="30"/>
  <c r="BK43" i="30"/>
  <c r="BU43" i="30"/>
  <c r="BA43" i="30"/>
  <c r="CJ43" i="30"/>
  <c r="CE43" i="30"/>
  <c r="AQ43" i="30"/>
  <c r="CL43" i="30" l="1"/>
  <c r="AM43" i="30"/>
  <c r="BV43" i="30" l="1"/>
  <c r="DB43" i="30" s="1"/>
  <c r="BB43" i="30"/>
  <c r="CT43" i="30" s="1"/>
  <c r="AR43" i="30"/>
  <c r="CP43" i="30" s="1"/>
  <c r="BG43" i="30"/>
  <c r="CV43" i="30" s="1"/>
  <c r="BQ43" i="30"/>
  <c r="CZ43" i="30" s="1"/>
  <c r="CF43" i="30"/>
  <c r="DF43" i="30" s="1"/>
  <c r="AW43" i="30"/>
  <c r="CR43" i="30" s="1"/>
  <c r="BL43" i="30"/>
  <c r="CX43" i="30" s="1"/>
  <c r="CK43" i="30"/>
  <c r="DH43" i="30" s="1"/>
  <c r="AK43" i="30"/>
  <c r="CN43" i="30" s="1"/>
  <c r="CA43" i="30"/>
  <c r="DD43" i="30" s="1"/>
  <c r="AQ44" i="30" l="1"/>
  <c r="AV44" i="30"/>
  <c r="DK110" i="30"/>
  <c r="BU44" i="30"/>
  <c r="BA44" i="30"/>
  <c r="CJ44" i="30"/>
  <c r="CE44" i="30"/>
  <c r="BK44" i="30"/>
  <c r="BZ44" i="30"/>
  <c r="BP44" i="30"/>
  <c r="BF44" i="30"/>
  <c r="AM44" i="30" l="1"/>
  <c r="CL44" i="30"/>
  <c r="BG44" i="30" l="1"/>
  <c r="CV44" i="30" s="1"/>
  <c r="AW44" i="30"/>
  <c r="CR44" i="30" s="1"/>
  <c r="DL110" i="30" s="1"/>
  <c r="DM110" i="30" s="1"/>
  <c r="DN110" i="30" s="1"/>
  <c r="CF44" i="30"/>
  <c r="DF44" i="30" s="1"/>
  <c r="BL44" i="30"/>
  <c r="CX44" i="30" s="1"/>
  <c r="CA44" i="30"/>
  <c r="DD44" i="30" s="1"/>
  <c r="AK44" i="30"/>
  <c r="CN44" i="30" s="1"/>
  <c r="DK37" i="30" s="1"/>
  <c r="BB44" i="30"/>
  <c r="CT44" i="30" s="1"/>
  <c r="CK44" i="30"/>
  <c r="DH44" i="30" s="1"/>
  <c r="BQ44" i="30"/>
  <c r="CZ44" i="30" s="1"/>
  <c r="BV44" i="30"/>
  <c r="DB44" i="30" s="1"/>
  <c r="AR44" i="30"/>
  <c r="CP44" i="30" s="1"/>
  <c r="AQ45" i="30" l="1"/>
  <c r="BF45" i="30"/>
  <c r="BU45" i="30"/>
  <c r="BA45" i="30"/>
  <c r="CE45" i="30"/>
  <c r="BK45" i="30"/>
  <c r="BP45" i="30"/>
  <c r="BZ45" i="30"/>
  <c r="AV45" i="30"/>
  <c r="CJ45" i="30"/>
  <c r="DM37" i="30"/>
  <c r="P29" i="30"/>
  <c r="V29" i="30" s="1"/>
  <c r="AM45" i="30" l="1"/>
  <c r="CL45" i="30"/>
  <c r="I46" i="30"/>
  <c r="J46" i="30" s="1"/>
  <c r="K46" i="30" s="1"/>
  <c r="DN37" i="30"/>
  <c r="R29" i="30"/>
  <c r="I39" i="30"/>
  <c r="J39" i="30" s="1"/>
  <c r="K39" i="30" s="1"/>
  <c r="I54" i="30"/>
  <c r="J54" i="30" s="1"/>
  <c r="K54" i="30" s="1"/>
  <c r="AR45" i="30" l="1"/>
  <c r="CP45" i="30" s="1"/>
  <c r="AW45" i="30"/>
  <c r="CR45" i="30" s="1"/>
  <c r="BG45" i="30"/>
  <c r="CV45" i="30" s="1"/>
  <c r="BQ45" i="30"/>
  <c r="CZ45" i="30" s="1"/>
  <c r="CF45" i="30"/>
  <c r="DF45" i="30" s="1"/>
  <c r="AK45" i="30"/>
  <c r="CN45" i="30" s="1"/>
  <c r="DK52" i="30" s="1"/>
  <c r="BL45" i="30"/>
  <c r="CX45" i="30" s="1"/>
  <c r="CK45" i="30"/>
  <c r="DH45" i="30" s="1"/>
  <c r="BB45" i="30"/>
  <c r="CT45" i="30" s="1"/>
  <c r="BV45" i="30"/>
  <c r="DB45" i="30" s="1"/>
  <c r="CA45" i="30"/>
  <c r="DD45" i="30" s="1"/>
  <c r="T29" i="30"/>
  <c r="S29" i="30"/>
  <c r="P30" i="30" l="1"/>
  <c r="V30" i="30" s="1"/>
  <c r="DM52" i="30"/>
  <c r="BF46" i="30"/>
  <c r="BP46" i="30"/>
  <c r="CJ46" i="30"/>
  <c r="BK46" i="30"/>
  <c r="CE46" i="30"/>
  <c r="AV46" i="30"/>
  <c r="BZ46" i="30"/>
  <c r="BU46" i="30"/>
  <c r="BA46" i="30"/>
  <c r="AQ46" i="30"/>
  <c r="CL46" i="30" l="1"/>
  <c r="AM46" i="30"/>
  <c r="DN52" i="30"/>
  <c r="R30" i="30"/>
  <c r="I43" i="30"/>
  <c r="J43" i="30" s="1"/>
  <c r="K43" i="30" s="1"/>
  <c r="I40" i="30"/>
  <c r="J40" i="30" s="1"/>
  <c r="K40" i="30" s="1"/>
  <c r="I60" i="30"/>
  <c r="J60" i="30" s="1"/>
  <c r="K60" i="30" s="1"/>
  <c r="S30" i="30" l="1"/>
  <c r="T30" i="30"/>
  <c r="CF46" i="30"/>
  <c r="DF46" i="30" s="1"/>
  <c r="CA46" i="30"/>
  <c r="DD46" i="30" s="1"/>
  <c r="AR46" i="30"/>
  <c r="CP46" i="30" s="1"/>
  <c r="BB46" i="30"/>
  <c r="CT46" i="30" s="1"/>
  <c r="BL46" i="30"/>
  <c r="CX46" i="30" s="1"/>
  <c r="CK46" i="30"/>
  <c r="DH46" i="30" s="1"/>
  <c r="AW46" i="30"/>
  <c r="CR46" i="30" s="1"/>
  <c r="BQ46" i="30"/>
  <c r="CZ46" i="30" s="1"/>
  <c r="BG46" i="30"/>
  <c r="CV46" i="30" s="1"/>
  <c r="AK46" i="30"/>
  <c r="CN46" i="30" s="1"/>
  <c r="AV47" i="30" s="1"/>
  <c r="BV46" i="30"/>
  <c r="DB46" i="30" s="1"/>
  <c r="CJ47" i="30" l="1"/>
  <c r="BK47" i="30"/>
  <c r="CE47" i="30"/>
  <c r="BP47" i="30"/>
  <c r="BU47" i="30"/>
  <c r="BA47" i="30"/>
  <c r="BZ47" i="30"/>
  <c r="BF47" i="30"/>
  <c r="AQ47" i="30"/>
  <c r="CL47" i="30" s="1"/>
  <c r="AM47" i="30" l="1"/>
  <c r="BB47" i="30"/>
  <c r="CT47" i="30" s="1"/>
  <c r="BL47" i="30"/>
  <c r="CX47" i="30" s="1"/>
  <c r="BV47" i="30"/>
  <c r="DB47" i="30" s="1"/>
  <c r="CF47" i="30"/>
  <c r="DF47" i="30" s="1"/>
  <c r="AK47" i="30"/>
  <c r="CN47" i="30" s="1"/>
  <c r="AR47" i="30"/>
  <c r="CP47" i="30" s="1"/>
  <c r="BG47" i="30"/>
  <c r="CV47" i="30" s="1"/>
  <c r="BQ47" i="30"/>
  <c r="CZ47" i="30" s="1"/>
  <c r="CA47" i="30"/>
  <c r="DD47" i="30" s="1"/>
  <c r="CK47" i="30"/>
  <c r="DH47" i="30" s="1"/>
  <c r="AW47" i="30"/>
  <c r="CR47" i="30" s="1"/>
  <c r="AQ48" i="30" l="1"/>
  <c r="BZ48" i="30"/>
  <c r="BP48" i="30"/>
  <c r="BU48" i="30"/>
  <c r="BF48" i="30"/>
  <c r="CE48" i="30"/>
  <c r="BA48" i="30"/>
  <c r="AV48" i="30"/>
  <c r="CJ48" i="30"/>
  <c r="BK48" i="30"/>
  <c r="CL48" i="30" l="1"/>
  <c r="AM48" i="30"/>
  <c r="BB48" i="30" l="1"/>
  <c r="CT48" i="30" s="1"/>
  <c r="CK48" i="30"/>
  <c r="DH48" i="30" s="1"/>
  <c r="AK48" i="30"/>
  <c r="CN48" i="30" s="1"/>
  <c r="AV49" i="30" s="1"/>
  <c r="AW48" i="30"/>
  <c r="CR48" i="30" s="1"/>
  <c r="BQ48" i="30"/>
  <c r="CZ48" i="30" s="1"/>
  <c r="CA48" i="30"/>
  <c r="DD48" i="30" s="1"/>
  <c r="BL48" i="30"/>
  <c r="CX48" i="30" s="1"/>
  <c r="AR48" i="30"/>
  <c r="CP48" i="30" s="1"/>
  <c r="BG48" i="30"/>
  <c r="CV48" i="30" s="1"/>
  <c r="BV48" i="30"/>
  <c r="DB48" i="30" s="1"/>
  <c r="CF48" i="30"/>
  <c r="DF48" i="30" s="1"/>
  <c r="AQ49" i="30" l="1"/>
  <c r="BU49" i="30"/>
  <c r="BA49" i="30"/>
  <c r="BK49" i="30"/>
  <c r="BP49" i="30"/>
  <c r="BZ49" i="30"/>
  <c r="BF49" i="30"/>
  <c r="CJ49" i="30"/>
  <c r="CE49" i="30"/>
  <c r="CL49" i="30" l="1"/>
  <c r="AM49" i="30"/>
  <c r="AR49" i="30" l="1"/>
  <c r="CP49" i="30" s="1"/>
  <c r="BG49" i="30"/>
  <c r="CV49" i="30" s="1"/>
  <c r="BQ49" i="30"/>
  <c r="CZ49" i="30" s="1"/>
  <c r="CF49" i="30"/>
  <c r="DF49" i="30" s="1"/>
  <c r="AW49" i="30"/>
  <c r="CR49" i="30" s="1"/>
  <c r="BV49" i="30"/>
  <c r="DB49" i="30" s="1"/>
  <c r="BB49" i="30"/>
  <c r="CT49" i="30" s="1"/>
  <c r="BL49" i="30"/>
  <c r="CX49" i="30" s="1"/>
  <c r="CA49" i="30"/>
  <c r="DD49" i="30" s="1"/>
  <c r="CK49" i="30"/>
  <c r="DH49" i="30" s="1"/>
  <c r="AK49" i="30"/>
  <c r="CN49" i="30" s="1"/>
  <c r="CJ50" i="30" l="1"/>
  <c r="BZ50" i="30"/>
  <c r="BU50" i="30"/>
  <c r="BP50" i="30"/>
  <c r="BF50" i="30"/>
  <c r="CE50" i="30"/>
  <c r="BA50" i="30"/>
  <c r="BK50" i="30"/>
  <c r="DK119" i="30"/>
  <c r="AV50" i="30"/>
  <c r="AQ50" i="30"/>
  <c r="AM50" i="30" l="1"/>
  <c r="CL50" i="30"/>
  <c r="BB50" i="30" l="1"/>
  <c r="CT50" i="30" s="1"/>
  <c r="BL50" i="30"/>
  <c r="CX50" i="30" s="1"/>
  <c r="BV50" i="30"/>
  <c r="DB50" i="30" s="1"/>
  <c r="CF50" i="30"/>
  <c r="DF50" i="30" s="1"/>
  <c r="CA50" i="30"/>
  <c r="DD50" i="30" s="1"/>
  <c r="AW50" i="30"/>
  <c r="CR50" i="30" s="1"/>
  <c r="AR50" i="30"/>
  <c r="CP50" i="30" s="1"/>
  <c r="BG50" i="30"/>
  <c r="CV50" i="30" s="1"/>
  <c r="BQ50" i="30"/>
  <c r="CZ50" i="30" s="1"/>
  <c r="AK50" i="30"/>
  <c r="CN50" i="30" s="1"/>
  <c r="CK50" i="30"/>
  <c r="DH50" i="30" s="1"/>
  <c r="AQ51" i="30" l="1"/>
  <c r="AV51" i="30"/>
  <c r="CE51" i="30"/>
  <c r="CJ51" i="30"/>
  <c r="BK51" i="30"/>
  <c r="BZ51" i="30"/>
  <c r="BA51" i="30"/>
  <c r="BF51" i="30"/>
  <c r="BU51" i="30"/>
  <c r="BP51" i="30"/>
  <c r="CL51" i="30" l="1"/>
  <c r="AM51" i="30"/>
  <c r="AK51" i="30" l="1"/>
  <c r="CN51" i="30" s="1"/>
  <c r="AW51" i="30"/>
  <c r="CR51" i="30" s="1"/>
  <c r="DL119" i="30" s="1"/>
  <c r="DM119" i="30" s="1"/>
  <c r="DN119" i="30" s="1"/>
  <c r="AR51" i="30"/>
  <c r="CP51" i="30" s="1"/>
  <c r="BG51" i="30"/>
  <c r="CV51" i="30" s="1"/>
  <c r="BQ51" i="30"/>
  <c r="CZ51" i="30" s="1"/>
  <c r="CF51" i="30"/>
  <c r="DF51" i="30" s="1"/>
  <c r="CA51" i="30"/>
  <c r="DD51" i="30" s="1"/>
  <c r="BB51" i="30"/>
  <c r="CT51" i="30" s="1"/>
  <c r="BL51" i="30"/>
  <c r="CX51" i="30" s="1"/>
  <c r="BV51" i="30"/>
  <c r="DB51" i="30" s="1"/>
  <c r="CK51" i="30"/>
  <c r="DH51" i="30" s="1"/>
  <c r="BF52" i="30" l="1"/>
  <c r="CJ52" i="30"/>
  <c r="BA52" i="30"/>
  <c r="CE52" i="30"/>
  <c r="BP52" i="30"/>
  <c r="BU52" i="30"/>
  <c r="BZ52" i="30"/>
  <c r="BK52" i="30"/>
  <c r="AQ52" i="30"/>
  <c r="AV52" i="30"/>
  <c r="DK55" i="30"/>
  <c r="P27" i="30" l="1"/>
  <c r="V27" i="30" s="1"/>
  <c r="AM52" i="30"/>
  <c r="CL52" i="30"/>
  <c r="AR52" i="30" l="1"/>
  <c r="CP52" i="30" s="1"/>
  <c r="CF52" i="30"/>
  <c r="DF52" i="30" s="1"/>
  <c r="AK52" i="30"/>
  <c r="CN52" i="30" s="1"/>
  <c r="DK40" i="30" s="1"/>
  <c r="AW52" i="30"/>
  <c r="CR52" i="30" s="1"/>
  <c r="DL55" i="30" s="1"/>
  <c r="BG52" i="30"/>
  <c r="CV52" i="30" s="1"/>
  <c r="BV52" i="30"/>
  <c r="DB52" i="30" s="1"/>
  <c r="CK52" i="30"/>
  <c r="DH52" i="30" s="1"/>
  <c r="BL52" i="30"/>
  <c r="CX52" i="30" s="1"/>
  <c r="BB52" i="30"/>
  <c r="CT52" i="30" s="1"/>
  <c r="BQ52" i="30"/>
  <c r="CZ52" i="30" s="1"/>
  <c r="CA52" i="30"/>
  <c r="DD52" i="30" s="1"/>
  <c r="Q27" i="30" l="1"/>
  <c r="DM55" i="30"/>
  <c r="DM40" i="30"/>
  <c r="P31" i="30"/>
  <c r="V31" i="30" s="1"/>
  <c r="BZ53" i="30"/>
  <c r="BP53" i="30"/>
  <c r="BA53" i="30"/>
  <c r="CE53" i="30"/>
  <c r="AV53" i="30"/>
  <c r="BF53" i="30"/>
  <c r="BU53" i="30"/>
  <c r="BK53" i="30"/>
  <c r="CJ53" i="30"/>
  <c r="DN40" i="30" l="1"/>
  <c r="R31" i="30"/>
  <c r="I55" i="30"/>
  <c r="J55" i="30" s="1"/>
  <c r="I48" i="30"/>
  <c r="J48" i="30" s="1"/>
  <c r="I37" i="30"/>
  <c r="J37" i="30" s="1"/>
  <c r="R27" i="30"/>
  <c r="DN55" i="30"/>
  <c r="K48" i="30" l="1"/>
  <c r="K55" i="30"/>
  <c r="S27" i="30"/>
  <c r="T27" i="30"/>
  <c r="T31" i="30"/>
  <c r="S31" i="30"/>
  <c r="K37" i="30"/>
  <c r="F14" i="30"/>
  <c r="AQ53" i="30" l="1"/>
  <c r="CL53" i="30" s="1"/>
  <c r="AM53" i="30" l="1"/>
  <c r="AK53" i="30"/>
  <c r="CN53" i="30" s="1"/>
  <c r="AQ54" i="30" s="1"/>
  <c r="BG53" i="30"/>
  <c r="CV53" i="30" s="1"/>
  <c r="BQ53" i="30"/>
  <c r="CZ53" i="30" s="1"/>
  <c r="CA53" i="30"/>
  <c r="DD53" i="30" s="1"/>
  <c r="CK53" i="30"/>
  <c r="DH53" i="30" s="1"/>
  <c r="AW53" i="30"/>
  <c r="CR53" i="30" s="1"/>
  <c r="AR53" i="30"/>
  <c r="CP53" i="30" s="1"/>
  <c r="BB53" i="30"/>
  <c r="CT53" i="30" s="1"/>
  <c r="BL53" i="30"/>
  <c r="CX53" i="30" s="1"/>
  <c r="BV53" i="30"/>
  <c r="DB53" i="30" s="1"/>
  <c r="CF53" i="30"/>
  <c r="DF53" i="30" s="1"/>
  <c r="AQ55" i="30" l="1"/>
  <c r="BU54" i="30"/>
  <c r="BP54" i="30"/>
  <c r="AV54" i="30"/>
  <c r="CJ54" i="30"/>
  <c r="BZ54" i="30"/>
  <c r="BA54" i="30"/>
  <c r="CE54" i="30"/>
  <c r="BK54" i="30"/>
  <c r="BF54" i="30"/>
  <c r="AM54" i="30" s="1"/>
  <c r="CL54" i="30" l="1"/>
  <c r="CK54" i="30" s="1"/>
  <c r="DH54" i="30" s="1"/>
  <c r="AK54" i="30"/>
  <c r="CN54" i="30" s="1"/>
  <c r="AR54" i="30"/>
  <c r="CP54" i="30" s="1"/>
  <c r="BB54" i="30"/>
  <c r="CT54" i="30" s="1"/>
  <c r="BV54" i="30"/>
  <c r="DB54" i="30" s="1"/>
  <c r="CF54" i="30"/>
  <c r="DF54" i="30" s="1"/>
  <c r="CA54" i="30" l="1"/>
  <c r="DD54" i="30" s="1"/>
  <c r="BL54" i="30"/>
  <c r="CX54" i="30" s="1"/>
  <c r="BG54" i="30"/>
  <c r="CV54" i="30" s="1"/>
  <c r="AW54" i="30"/>
  <c r="CR54" i="30" s="1"/>
  <c r="BQ54" i="30"/>
  <c r="CZ54" i="30" s="1"/>
  <c r="BA55" i="30"/>
  <c r="BU55" i="30"/>
  <c r="BF55" i="30"/>
  <c r="BZ55" i="30"/>
  <c r="CJ55" i="30"/>
  <c r="BP55" i="30"/>
  <c r="CE55" i="30"/>
  <c r="AV55" i="30"/>
  <c r="BK55" i="30"/>
  <c r="DK73" i="30"/>
  <c r="AV58" i="30"/>
  <c r="AM55" i="30" l="1"/>
  <c r="CL55" i="30"/>
  <c r="BV55" i="30" l="1"/>
  <c r="DB55" i="30" s="1"/>
  <c r="AW55" i="30"/>
  <c r="CR55" i="30" s="1"/>
  <c r="BG55" i="30"/>
  <c r="CV55" i="30" s="1"/>
  <c r="BQ55" i="30"/>
  <c r="CZ55" i="30" s="1"/>
  <c r="CF55" i="30"/>
  <c r="DF55" i="30" s="1"/>
  <c r="AK55" i="30"/>
  <c r="CN55" i="30" s="1"/>
  <c r="AV56" i="30" s="1"/>
  <c r="AR55" i="30"/>
  <c r="CP55" i="30" s="1"/>
  <c r="BB55" i="30"/>
  <c r="CT55" i="30" s="1"/>
  <c r="BL55" i="30"/>
  <c r="CX55" i="30" s="1"/>
  <c r="CA55" i="30"/>
  <c r="DD55" i="30" s="1"/>
  <c r="CK55" i="30"/>
  <c r="DH55" i="30" s="1"/>
  <c r="AQ56" i="30" l="1"/>
  <c r="CJ56" i="30"/>
  <c r="BA56" i="30"/>
  <c r="BK56" i="30"/>
  <c r="BP56" i="30"/>
  <c r="BF56" i="30"/>
  <c r="CE56" i="30"/>
  <c r="BU56" i="30"/>
  <c r="BZ56" i="30"/>
  <c r="AM56" i="30" l="1"/>
  <c r="CL56" i="30"/>
  <c r="AK56" i="30" l="1"/>
  <c r="CN56" i="30" s="1"/>
  <c r="AR56" i="30"/>
  <c r="CP56" i="30" s="1"/>
  <c r="BG56" i="30"/>
  <c r="CV56" i="30" s="1"/>
  <c r="BQ56" i="30"/>
  <c r="CZ56" i="30" s="1"/>
  <c r="AW56" i="30"/>
  <c r="CR56" i="30" s="1"/>
  <c r="CA56" i="30"/>
  <c r="DD56" i="30" s="1"/>
  <c r="BB56" i="30"/>
  <c r="CT56" i="30" s="1"/>
  <c r="BL56" i="30"/>
  <c r="CX56" i="30" s="1"/>
  <c r="BV56" i="30"/>
  <c r="DB56" i="30" s="1"/>
  <c r="CK56" i="30"/>
  <c r="DH56" i="30" s="1"/>
  <c r="CF56" i="30"/>
  <c r="DF56" i="30" s="1"/>
  <c r="BA57" i="30" l="1"/>
  <c r="BU57" i="30"/>
  <c r="BK57" i="30"/>
  <c r="BP57" i="30"/>
  <c r="BF57" i="30"/>
  <c r="CE57" i="30"/>
  <c r="CJ57" i="30"/>
  <c r="BZ57" i="30"/>
  <c r="AQ57" i="30"/>
  <c r="AV57" i="30"/>
  <c r="DK115" i="30"/>
  <c r="CL57" i="30" l="1"/>
  <c r="AM57" i="30"/>
  <c r="AR57" i="30" l="1"/>
  <c r="CP57" i="30" s="1"/>
  <c r="BG57" i="30"/>
  <c r="CV57" i="30" s="1"/>
  <c r="BV57" i="30"/>
  <c r="DB57" i="30" s="1"/>
  <c r="CF57" i="30"/>
  <c r="DF57" i="30" s="1"/>
  <c r="AW57" i="30"/>
  <c r="CR57" i="30" s="1"/>
  <c r="DL115" i="30" s="1"/>
  <c r="DM115" i="30" s="1"/>
  <c r="DN115" i="30" s="1"/>
  <c r="BQ57" i="30"/>
  <c r="CZ57" i="30" s="1"/>
  <c r="BB57" i="30"/>
  <c r="CT57" i="30" s="1"/>
  <c r="BL57" i="30"/>
  <c r="CX57" i="30" s="1"/>
  <c r="CA57" i="30"/>
  <c r="DD57" i="30" s="1"/>
  <c r="CK57" i="30"/>
  <c r="DH57" i="30" s="1"/>
  <c r="AK57" i="30"/>
  <c r="CN57" i="30" s="1"/>
  <c r="BA58" i="30" l="1"/>
  <c r="DK89" i="30"/>
  <c r="BZ58" i="30"/>
  <c r="BK58" i="30"/>
  <c r="CJ58" i="30"/>
  <c r="BP58" i="30"/>
  <c r="CE58" i="30"/>
  <c r="BU58" i="30"/>
  <c r="BF58" i="30"/>
  <c r="AQ58" i="30"/>
  <c r="AM58" i="30" l="1"/>
  <c r="CL58" i="30"/>
  <c r="BG58" i="30" l="1"/>
  <c r="CV58" i="30" s="1"/>
  <c r="BQ58" i="30"/>
  <c r="CZ58" i="30" s="1"/>
  <c r="CF58" i="30"/>
  <c r="DF58" i="30" s="1"/>
  <c r="BB58" i="30"/>
  <c r="CT58" i="30" s="1"/>
  <c r="DL89" i="30" s="1"/>
  <c r="DM89" i="30" s="1"/>
  <c r="DN89" i="30" s="1"/>
  <c r="CK58" i="30"/>
  <c r="DH58" i="30" s="1"/>
  <c r="BV58" i="30"/>
  <c r="DB58" i="30" s="1"/>
  <c r="BL58" i="30"/>
  <c r="CX58" i="30" s="1"/>
  <c r="CA58" i="30"/>
  <c r="DD58" i="30" s="1"/>
  <c r="AR58" i="30"/>
  <c r="CP58" i="30" s="1"/>
  <c r="AK58" i="30"/>
  <c r="CN58" i="30" s="1"/>
  <c r="DK25" i="30" s="1"/>
  <c r="AW58" i="30"/>
  <c r="CR58" i="30" s="1"/>
  <c r="DL73" i="30" s="1"/>
  <c r="DM73" i="30" s="1"/>
  <c r="DN73" i="30" s="1"/>
  <c r="P32" i="30" l="1"/>
  <c r="V32" i="30" s="1"/>
  <c r="DM25" i="30"/>
  <c r="AQ60" i="30"/>
  <c r="I56" i="30" l="1"/>
  <c r="J56" i="30" s="1"/>
  <c r="K56" i="30" s="1"/>
  <c r="DN25" i="30"/>
  <c r="I49" i="30"/>
  <c r="J49" i="30" s="1"/>
  <c r="K49" i="30" s="1"/>
  <c r="R32" i="30"/>
  <c r="S32" i="30" l="1"/>
  <c r="T32" i="30"/>
  <c r="AV59" i="30"/>
  <c r="BA59" i="30"/>
  <c r="BF59" i="30"/>
  <c r="BK59" i="30"/>
  <c r="BP59" i="30"/>
  <c r="BU59" i="30"/>
  <c r="BZ59" i="30"/>
  <c r="CE59" i="30"/>
  <c r="CJ59" i="30"/>
  <c r="AM59" i="30" s="1"/>
  <c r="CL59" i="30" l="1"/>
  <c r="AW59" i="30" s="1"/>
  <c r="CR59" i="30" s="1"/>
  <c r="AK59" i="30"/>
  <c r="CN59" i="30" s="1"/>
  <c r="CK59" i="30"/>
  <c r="DH59" i="30" s="1"/>
  <c r="BB59" i="30"/>
  <c r="CT59" i="30" s="1"/>
  <c r="BL59" i="30"/>
  <c r="CX59" i="30" s="1"/>
  <c r="AR59" i="30"/>
  <c r="CP59" i="30" s="1"/>
  <c r="BV59" i="30"/>
  <c r="DB59" i="30" s="1"/>
  <c r="CF59" i="30"/>
  <c r="DF59" i="30" s="1"/>
  <c r="BQ59" i="30" l="1"/>
  <c r="CZ59" i="30" s="1"/>
  <c r="BG59" i="30"/>
  <c r="CV59" i="30" s="1"/>
  <c r="CA59" i="30"/>
  <c r="DD59" i="30" s="1"/>
  <c r="AQ62" i="30"/>
  <c r="BP60" i="30"/>
  <c r="BZ60" i="30"/>
  <c r="AV60" i="30"/>
  <c r="BA60" i="30"/>
  <c r="CJ60" i="30"/>
  <c r="BK60" i="30"/>
  <c r="BF60" i="30"/>
  <c r="CE60" i="30"/>
  <c r="BU60" i="30"/>
  <c r="CL60" i="30" l="1"/>
  <c r="AM60" i="30"/>
  <c r="BG60" i="30" l="1"/>
  <c r="CV60" i="30" s="1"/>
  <c r="AW60" i="30"/>
  <c r="CR60" i="30" s="1"/>
  <c r="BL60" i="30"/>
  <c r="CX60" i="30" s="1"/>
  <c r="BV60" i="30"/>
  <c r="DB60" i="30" s="1"/>
  <c r="CK60" i="30"/>
  <c r="DH60" i="30" s="1"/>
  <c r="AR60" i="30"/>
  <c r="CP60" i="30" s="1"/>
  <c r="CF60" i="30"/>
  <c r="DF60" i="30" s="1"/>
  <c r="AK60" i="30"/>
  <c r="CN60" i="30" s="1"/>
  <c r="BB60" i="30"/>
  <c r="CT60" i="30" s="1"/>
  <c r="BQ60" i="30"/>
  <c r="CZ60" i="30" s="1"/>
  <c r="CA60" i="30"/>
  <c r="DD60" i="30" s="1"/>
  <c r="AV61" i="30" l="1"/>
  <c r="AQ61" i="30"/>
  <c r="BP61" i="30"/>
  <c r="BA61" i="30"/>
  <c r="BU61" i="30"/>
  <c r="BF61" i="30"/>
  <c r="CE61" i="30"/>
  <c r="BK61" i="30"/>
  <c r="CJ61" i="30"/>
  <c r="BZ61" i="30"/>
  <c r="AM61" i="30" l="1"/>
  <c r="CL61" i="30"/>
  <c r="BQ61" i="30" l="1"/>
  <c r="CZ61" i="30" s="1"/>
  <c r="BG61" i="30"/>
  <c r="CV61" i="30" s="1"/>
  <c r="BV61" i="30"/>
  <c r="DB61" i="30" s="1"/>
  <c r="AR61" i="30"/>
  <c r="CP61" i="30" s="1"/>
  <c r="CF61" i="30"/>
  <c r="DF61" i="30" s="1"/>
  <c r="BB61" i="30"/>
  <c r="CT61" i="30" s="1"/>
  <c r="BL61" i="30"/>
  <c r="CX61" i="30" s="1"/>
  <c r="CA61" i="30"/>
  <c r="DD61" i="30" s="1"/>
  <c r="AW61" i="30"/>
  <c r="CR61" i="30" s="1"/>
  <c r="CK61" i="30"/>
  <c r="DH61" i="30" s="1"/>
  <c r="AK61" i="30"/>
  <c r="CN61" i="30" s="1"/>
  <c r="AQ63" i="30" l="1"/>
  <c r="AV63" i="30"/>
  <c r="BK62" i="30"/>
  <c r="CE62" i="30"/>
  <c r="BP62" i="30"/>
  <c r="CJ62" i="30"/>
  <c r="BZ62" i="30"/>
  <c r="BA62" i="30"/>
  <c r="AV62" i="30"/>
  <c r="BF62" i="30"/>
  <c r="BU62" i="30"/>
  <c r="AM62" i="30" l="1"/>
  <c r="CL62" i="30"/>
  <c r="AW62" i="30" l="1"/>
  <c r="CR62" i="30" s="1"/>
  <c r="BG62" i="30"/>
  <c r="CV62" i="30" s="1"/>
  <c r="BQ62" i="30"/>
  <c r="CZ62" i="30" s="1"/>
  <c r="AK62" i="30"/>
  <c r="CN62" i="30" s="1"/>
  <c r="CF62" i="30"/>
  <c r="DF62" i="30" s="1"/>
  <c r="BB62" i="30"/>
  <c r="CT62" i="30" s="1"/>
  <c r="BL62" i="30"/>
  <c r="CX62" i="30" s="1"/>
  <c r="AR62" i="30"/>
  <c r="CP62" i="30" s="1"/>
  <c r="BV62" i="30"/>
  <c r="DB62" i="30" s="1"/>
  <c r="CK62" i="30"/>
  <c r="DH62" i="30" s="1"/>
  <c r="CA62" i="30"/>
  <c r="DD62" i="30" s="1"/>
  <c r="DK99" i="30" l="1"/>
  <c r="BA63" i="30"/>
  <c r="AQ68" i="30"/>
  <c r="BZ63" i="30"/>
  <c r="BK63" i="30"/>
  <c r="CJ63" i="30"/>
  <c r="BP63" i="30"/>
  <c r="CE63" i="30"/>
  <c r="BU63" i="30"/>
  <c r="BF63" i="30"/>
  <c r="CL63" i="30" l="1"/>
  <c r="AM63" i="30"/>
  <c r="BL63" i="30" l="1"/>
  <c r="CX63" i="30" s="1"/>
  <c r="BV63" i="30"/>
  <c r="DB63" i="30" s="1"/>
  <c r="AW63" i="30"/>
  <c r="CR63" i="30" s="1"/>
  <c r="CK63" i="30"/>
  <c r="DH63" i="30" s="1"/>
  <c r="CA63" i="30"/>
  <c r="DD63" i="30" s="1"/>
  <c r="BB63" i="30"/>
  <c r="CT63" i="30" s="1"/>
  <c r="DL99" i="30" s="1"/>
  <c r="DM99" i="30" s="1"/>
  <c r="DN99" i="30" s="1"/>
  <c r="BG63" i="30"/>
  <c r="CV63" i="30" s="1"/>
  <c r="BQ63" i="30"/>
  <c r="CZ63" i="30" s="1"/>
  <c r="CF63" i="30"/>
  <c r="DF63" i="30" s="1"/>
  <c r="AK63" i="30"/>
  <c r="CN63" i="30" s="1"/>
  <c r="AR63" i="30"/>
  <c r="CP63" i="30" s="1"/>
  <c r="AQ64" i="30" l="1"/>
  <c r="BK64" i="30"/>
  <c r="BP64" i="30"/>
  <c r="BU64" i="30"/>
  <c r="BA64" i="30"/>
  <c r="CJ64" i="30"/>
  <c r="CE64" i="30"/>
  <c r="BZ64" i="30"/>
  <c r="BF64" i="30"/>
  <c r="CL64" i="30" l="1"/>
  <c r="AM64" i="30"/>
  <c r="BG64" i="30" l="1"/>
  <c r="CV64" i="30" s="1"/>
  <c r="BV64" i="30"/>
  <c r="DB64" i="30" s="1"/>
  <c r="CF64" i="30"/>
  <c r="DF64" i="30" s="1"/>
  <c r="BQ64" i="30"/>
  <c r="CZ64" i="30" s="1"/>
  <c r="AW64" i="30"/>
  <c r="CR64" i="30" s="1"/>
  <c r="DL114" i="30" s="1"/>
  <c r="DM114" i="30" s="1"/>
  <c r="DN114" i="30" s="1"/>
  <c r="BB64" i="30"/>
  <c r="CT64" i="30" s="1"/>
  <c r="BL64" i="30"/>
  <c r="CX64" i="30" s="1"/>
  <c r="CA64" i="30"/>
  <c r="DD64" i="30" s="1"/>
  <c r="CK64" i="30"/>
  <c r="DH64" i="30" s="1"/>
  <c r="AK64" i="30"/>
  <c r="CN64" i="30" s="1"/>
  <c r="AR64" i="30"/>
  <c r="CP64" i="30" s="1"/>
  <c r="AQ65" i="30" l="1"/>
  <c r="AV67" i="30"/>
  <c r="DK103" i="30"/>
  <c r="AV65" i="30"/>
  <c r="CE65" i="30"/>
  <c r="BZ65" i="30"/>
  <c r="BK65" i="30"/>
  <c r="CJ65" i="30"/>
  <c r="BP65" i="30"/>
  <c r="BA65" i="30"/>
  <c r="BF65" i="30"/>
  <c r="BU65" i="30"/>
  <c r="AM65" i="30" l="1"/>
  <c r="CL65" i="30"/>
  <c r="CF65" i="30" l="1"/>
  <c r="DF65" i="30" s="1"/>
  <c r="AW65" i="30"/>
  <c r="CR65" i="30" s="1"/>
  <c r="BG65" i="30"/>
  <c r="CV65" i="30" s="1"/>
  <c r="BQ65" i="30"/>
  <c r="CZ65" i="30" s="1"/>
  <c r="AK65" i="30"/>
  <c r="CN65" i="30" s="1"/>
  <c r="AV66" i="30" s="1"/>
  <c r="BV65" i="30"/>
  <c r="DB65" i="30" s="1"/>
  <c r="CA65" i="30"/>
  <c r="DD65" i="30" s="1"/>
  <c r="BB65" i="30"/>
  <c r="CT65" i="30" s="1"/>
  <c r="BL65" i="30"/>
  <c r="CX65" i="30" s="1"/>
  <c r="AR65" i="30"/>
  <c r="CP65" i="30" s="1"/>
  <c r="CK65" i="30"/>
  <c r="DH65" i="30" s="1"/>
  <c r="AQ66" i="30" l="1"/>
  <c r="BF66" i="30"/>
  <c r="BZ66" i="30"/>
  <c r="BK66" i="30"/>
  <c r="CE66" i="30"/>
  <c r="BP66" i="30"/>
  <c r="CJ66" i="30"/>
  <c r="BA66" i="30"/>
  <c r="BU66" i="30"/>
  <c r="CL66" i="30" l="1"/>
  <c r="AM66" i="30"/>
  <c r="AR66" i="30" l="1"/>
  <c r="CP66" i="30" s="1"/>
  <c r="BG66" i="30"/>
  <c r="CV66" i="30" s="1"/>
  <c r="BQ66" i="30"/>
  <c r="CZ66" i="30" s="1"/>
  <c r="CF66" i="30"/>
  <c r="DF66" i="30" s="1"/>
  <c r="AK66" i="30"/>
  <c r="CN66" i="30" s="1"/>
  <c r="AW66" i="30"/>
  <c r="CR66" i="30" s="1"/>
  <c r="CK66" i="30"/>
  <c r="DH66" i="30" s="1"/>
  <c r="BB66" i="30"/>
  <c r="CT66" i="30" s="1"/>
  <c r="BL66" i="30"/>
  <c r="CX66" i="30" s="1"/>
  <c r="CA66" i="30"/>
  <c r="DD66" i="30" s="1"/>
  <c r="BV66" i="30"/>
  <c r="DB66" i="30" s="1"/>
  <c r="BZ67" i="30" l="1"/>
  <c r="CE67" i="30"/>
  <c r="CJ67" i="30"/>
  <c r="BF67" i="30"/>
  <c r="BK67" i="30"/>
  <c r="BU67" i="30"/>
  <c r="BP67" i="30"/>
  <c r="BA67" i="30"/>
  <c r="DK35" i="30"/>
  <c r="AQ67" i="30"/>
  <c r="CL67" i="30" s="1"/>
  <c r="AM67" i="30"/>
  <c r="BL67" i="30" l="1"/>
  <c r="CX67" i="30" s="1"/>
  <c r="BV67" i="30"/>
  <c r="DB67" i="30" s="1"/>
  <c r="CF67" i="30"/>
  <c r="DF67" i="30" s="1"/>
  <c r="AK67" i="30"/>
  <c r="CN67" i="30" s="1"/>
  <c r="DK91" i="30" s="1"/>
  <c r="BG67" i="30"/>
  <c r="CV67" i="30" s="1"/>
  <c r="BQ67" i="30"/>
  <c r="CZ67" i="30" s="1"/>
  <c r="CA67" i="30"/>
  <c r="DD67" i="30" s="1"/>
  <c r="CK67" i="30"/>
  <c r="DH67" i="30" s="1"/>
  <c r="BB67" i="30"/>
  <c r="CT67" i="30" s="1"/>
  <c r="DL35" i="30" s="1"/>
  <c r="DM35" i="30" s="1"/>
  <c r="DN35" i="30" s="1"/>
  <c r="AR67" i="30"/>
  <c r="CP67" i="30" s="1"/>
  <c r="AW67" i="30"/>
  <c r="CR67" i="30" s="1"/>
  <c r="DL103" i="30" s="1"/>
  <c r="DM103" i="30" s="1"/>
  <c r="DN103" i="30" s="1"/>
  <c r="P33" i="30" l="1"/>
  <c r="V33" i="30" s="1"/>
  <c r="DM91" i="30"/>
  <c r="AQ69" i="30"/>
  <c r="BA68" i="30"/>
  <c r="BZ68" i="30"/>
  <c r="BU68" i="30"/>
  <c r="CE68" i="30"/>
  <c r="BF68" i="30"/>
  <c r="CJ68" i="30"/>
  <c r="BK68" i="30"/>
  <c r="BP68" i="30"/>
  <c r="AV68" i="30"/>
  <c r="CL68" i="30" l="1"/>
  <c r="AM68" i="30"/>
  <c r="I57" i="30"/>
  <c r="J57" i="30" s="1"/>
  <c r="K57" i="30" s="1"/>
  <c r="DN91" i="30"/>
  <c r="I50" i="30"/>
  <c r="J50" i="30" s="1"/>
  <c r="K50" i="30" s="1"/>
  <c r="R33" i="30"/>
  <c r="S33" i="30" l="1"/>
  <c r="T33" i="30"/>
  <c r="CF68" i="30"/>
  <c r="DF68" i="30" s="1"/>
  <c r="AK68" i="30"/>
  <c r="CN68" i="30" s="1"/>
  <c r="AW68" i="30"/>
  <c r="CR68" i="30" s="1"/>
  <c r="BG68" i="30"/>
  <c r="CV68" i="30" s="1"/>
  <c r="BQ68" i="30"/>
  <c r="CZ68" i="30" s="1"/>
  <c r="BV68" i="30"/>
  <c r="DB68" i="30" s="1"/>
  <c r="CK68" i="30"/>
  <c r="DH68" i="30" s="1"/>
  <c r="BB68" i="30"/>
  <c r="CT68" i="30" s="1"/>
  <c r="BL68" i="30"/>
  <c r="CX68" i="30" s="1"/>
  <c r="AR68" i="30"/>
  <c r="CP68" i="30" s="1"/>
  <c r="CA68" i="30"/>
  <c r="DD68" i="30" s="1"/>
  <c r="AQ71" i="30" l="1"/>
  <c r="BZ69" i="30"/>
  <c r="BA69" i="30"/>
  <c r="BF69" i="30"/>
  <c r="CJ69" i="30"/>
  <c r="AV69" i="30"/>
  <c r="BU69" i="30"/>
  <c r="BK69" i="30"/>
  <c r="CE69" i="30"/>
  <c r="BP69" i="30"/>
  <c r="CL69" i="30" l="1"/>
  <c r="AM69" i="30"/>
  <c r="AK69" i="30" l="1"/>
  <c r="CN69" i="30" s="1"/>
  <c r="AV70" i="30" s="1"/>
  <c r="AR69" i="30"/>
  <c r="CP69" i="30" s="1"/>
  <c r="BB69" i="30"/>
  <c r="CT69" i="30" s="1"/>
  <c r="BL69" i="30"/>
  <c r="CX69" i="30" s="1"/>
  <c r="BV69" i="30"/>
  <c r="DB69" i="30" s="1"/>
  <c r="CK69" i="30"/>
  <c r="DH69" i="30" s="1"/>
  <c r="CA69" i="30"/>
  <c r="DD69" i="30" s="1"/>
  <c r="AW69" i="30"/>
  <c r="CR69" i="30" s="1"/>
  <c r="BG69" i="30"/>
  <c r="CV69" i="30" s="1"/>
  <c r="BQ69" i="30"/>
  <c r="CZ69" i="30" s="1"/>
  <c r="CF69" i="30"/>
  <c r="DF69" i="30" s="1"/>
  <c r="BZ70" i="30" l="1"/>
  <c r="BA70" i="30"/>
  <c r="CJ70" i="30"/>
  <c r="BU70" i="30"/>
  <c r="BK70" i="30"/>
  <c r="CE70" i="30"/>
  <c r="BP70" i="30"/>
  <c r="BF70" i="30"/>
  <c r="AQ70" i="30"/>
  <c r="CL70" i="30" l="1"/>
  <c r="AM70" i="30"/>
  <c r="AK70" i="30" l="1"/>
  <c r="CN70" i="30" s="1"/>
  <c r="CF70" i="30"/>
  <c r="DF70" i="30" s="1"/>
  <c r="CA70" i="30"/>
  <c r="DD70" i="30" s="1"/>
  <c r="AR70" i="30"/>
  <c r="CP70" i="30" s="1"/>
  <c r="BG70" i="30"/>
  <c r="CV70" i="30" s="1"/>
  <c r="BQ70" i="30"/>
  <c r="CZ70" i="30" s="1"/>
  <c r="CK70" i="30"/>
  <c r="DH70" i="30" s="1"/>
  <c r="AW70" i="30"/>
  <c r="CR70" i="30" s="1"/>
  <c r="BB70" i="30"/>
  <c r="CT70" i="30" s="1"/>
  <c r="BL70" i="30"/>
  <c r="CX70" i="30" s="1"/>
  <c r="BV70" i="30"/>
  <c r="DB70" i="30" s="1"/>
  <c r="AQ72" i="30" l="1"/>
  <c r="BP71" i="30"/>
  <c r="AV71" i="30"/>
  <c r="BF71" i="30"/>
  <c r="CE71" i="30"/>
  <c r="BZ71" i="30"/>
  <c r="BU71" i="30"/>
  <c r="BK71" i="30"/>
  <c r="CJ71" i="30"/>
  <c r="BA71" i="30"/>
  <c r="AV72" i="30"/>
  <c r="AM71" i="30" l="1"/>
  <c r="CL71" i="30"/>
  <c r="BQ71" i="30" l="1"/>
  <c r="CZ71" i="30" s="1"/>
  <c r="CF71" i="30"/>
  <c r="DF71" i="30" s="1"/>
  <c r="AK71" i="30"/>
  <c r="CN71" i="30" s="1"/>
  <c r="BA72" i="30" s="1"/>
  <c r="CA71" i="30"/>
  <c r="DD71" i="30" s="1"/>
  <c r="CK71" i="30"/>
  <c r="DH71" i="30" s="1"/>
  <c r="BB71" i="30"/>
  <c r="CT71" i="30" s="1"/>
  <c r="BL71" i="30"/>
  <c r="CX71" i="30" s="1"/>
  <c r="AR71" i="30"/>
  <c r="CP71" i="30" s="1"/>
  <c r="AQ85" i="30" s="1"/>
  <c r="AW71" i="30"/>
  <c r="CR71" i="30" s="1"/>
  <c r="BG71" i="30"/>
  <c r="CV71" i="30" s="1"/>
  <c r="BV71" i="30"/>
  <c r="DB71" i="30" s="1"/>
  <c r="BK72" i="30" l="1"/>
  <c r="CE72" i="30"/>
  <c r="BF72" i="30"/>
  <c r="BZ72" i="30"/>
  <c r="CJ72" i="30"/>
  <c r="BU72" i="30"/>
  <c r="BP72" i="30"/>
  <c r="AM72" i="30" l="1"/>
  <c r="CL72" i="30"/>
  <c r="BB72" i="30" l="1"/>
  <c r="CT72" i="30" s="1"/>
  <c r="BL72" i="30"/>
  <c r="CX72" i="30" s="1"/>
  <c r="AR72" i="30"/>
  <c r="CP72" i="30" s="1"/>
  <c r="CF72" i="30"/>
  <c r="DF72" i="30" s="1"/>
  <c r="BG72" i="30"/>
  <c r="CV72" i="30" s="1"/>
  <c r="CA72" i="30"/>
  <c r="DD72" i="30" s="1"/>
  <c r="AK72" i="30"/>
  <c r="CN72" i="30" s="1"/>
  <c r="BA73" i="30" s="1"/>
  <c r="BQ72" i="30"/>
  <c r="CZ72" i="30" s="1"/>
  <c r="AW72" i="30"/>
  <c r="CR72" i="30" s="1"/>
  <c r="AV73" i="30" s="1"/>
  <c r="CK72" i="30"/>
  <c r="DH72" i="30" s="1"/>
  <c r="BV72" i="30"/>
  <c r="DB72" i="30" s="1"/>
  <c r="AQ73" i="30" l="1"/>
  <c r="BK73" i="30"/>
  <c r="BP73" i="30"/>
  <c r="BZ73" i="30"/>
  <c r="BF73" i="30"/>
  <c r="CE73" i="30"/>
  <c r="BU73" i="30"/>
  <c r="CJ73" i="30"/>
  <c r="CL73" i="30" l="1"/>
  <c r="AM73" i="30"/>
  <c r="AR73" i="30" l="1"/>
  <c r="CP73" i="30" s="1"/>
  <c r="AK73" i="30"/>
  <c r="CN73" i="30" s="1"/>
  <c r="DK68" i="30" s="1"/>
  <c r="BV73" i="30"/>
  <c r="DB73" i="30" s="1"/>
  <c r="BL73" i="30"/>
  <c r="CX73" i="30" s="1"/>
  <c r="BB73" i="30"/>
  <c r="CT73" i="30" s="1"/>
  <c r="BQ73" i="30"/>
  <c r="CZ73" i="30" s="1"/>
  <c r="BG73" i="30"/>
  <c r="CV73" i="30" s="1"/>
  <c r="AW73" i="30"/>
  <c r="CR73" i="30" s="1"/>
  <c r="CF73" i="30"/>
  <c r="DF73" i="30" s="1"/>
  <c r="CA73" i="30"/>
  <c r="DD73" i="30" s="1"/>
  <c r="CK73" i="30"/>
  <c r="DH73" i="30" s="1"/>
  <c r="BK74" i="30" l="1"/>
  <c r="CJ74" i="30"/>
  <c r="BZ74" i="30"/>
  <c r="BP74" i="30"/>
  <c r="AV74" i="30"/>
  <c r="BU74" i="30"/>
  <c r="BA74" i="30"/>
  <c r="BF74" i="30"/>
  <c r="CE74" i="30"/>
  <c r="DM68" i="30"/>
  <c r="P34" i="30"/>
  <c r="V34" i="30" s="1"/>
  <c r="AQ74" i="30"/>
  <c r="AM74" i="30" l="1"/>
  <c r="CL74" i="30"/>
  <c r="I51" i="30"/>
  <c r="J51" i="30" s="1"/>
  <c r="DN68" i="30"/>
  <c r="R34" i="30"/>
  <c r="K51" i="30" l="1"/>
  <c r="AR74" i="30"/>
  <c r="CP74" i="30" s="1"/>
  <c r="CF74" i="30"/>
  <c r="DF74" i="30" s="1"/>
  <c r="BV74" i="30"/>
  <c r="DB74" i="30" s="1"/>
  <c r="BG74" i="30"/>
  <c r="CV74" i="30" s="1"/>
  <c r="BQ74" i="30"/>
  <c r="CZ74" i="30" s="1"/>
  <c r="AK74" i="30"/>
  <c r="CN74" i="30" s="1"/>
  <c r="BL74" i="30"/>
  <c r="CX74" i="30" s="1"/>
  <c r="BB74" i="30"/>
  <c r="CT74" i="30" s="1"/>
  <c r="CA74" i="30"/>
  <c r="DD74" i="30" s="1"/>
  <c r="CK74" i="30"/>
  <c r="DH74" i="30" s="1"/>
  <c r="AW74" i="30"/>
  <c r="CR74" i="30" s="1"/>
  <c r="S34" i="30"/>
  <c r="T34" i="30"/>
  <c r="AV75" i="30" l="1"/>
  <c r="AQ75" i="30"/>
  <c r="BP75" i="30"/>
  <c r="BZ75" i="30"/>
  <c r="BF75" i="30"/>
  <c r="BK75" i="30"/>
  <c r="BU75" i="30"/>
  <c r="CE75" i="30"/>
  <c r="CJ75" i="30"/>
  <c r="BA75" i="30"/>
  <c r="AM75" i="30" l="1"/>
  <c r="CL75" i="30"/>
  <c r="CK75" i="30" l="1"/>
  <c r="DH75" i="30" s="1"/>
  <c r="AK75" i="30"/>
  <c r="CN75" i="30" s="1"/>
  <c r="BG75" i="30"/>
  <c r="CV75" i="30" s="1"/>
  <c r="AW75" i="30"/>
  <c r="CR75" i="30" s="1"/>
  <c r="BV75" i="30"/>
  <c r="DB75" i="30" s="1"/>
  <c r="BL75" i="30"/>
  <c r="CX75" i="30" s="1"/>
  <c r="AR75" i="30"/>
  <c r="CP75" i="30" s="1"/>
  <c r="BB75" i="30"/>
  <c r="CT75" i="30" s="1"/>
  <c r="CF75" i="30"/>
  <c r="DF75" i="30" s="1"/>
  <c r="CA75" i="30"/>
  <c r="DD75" i="30" s="1"/>
  <c r="BQ75" i="30"/>
  <c r="CZ75" i="30" s="1"/>
  <c r="BK76" i="30" l="1"/>
  <c r="CE76" i="30"/>
  <c r="BZ76" i="30"/>
  <c r="CJ76" i="30"/>
  <c r="BF76" i="30"/>
  <c r="BA76" i="30"/>
  <c r="BP76" i="30"/>
  <c r="BU76" i="30"/>
  <c r="AV76" i="30"/>
  <c r="AQ76" i="30"/>
  <c r="CL76" i="30" l="1"/>
  <c r="AM76" i="30"/>
  <c r="AR76" i="30" l="1"/>
  <c r="CP76" i="30" s="1"/>
  <c r="BL76" i="30"/>
  <c r="CX76" i="30" s="1"/>
  <c r="BQ76" i="30"/>
  <c r="CZ76" i="30" s="1"/>
  <c r="AK76" i="30"/>
  <c r="CN76" i="30" s="1"/>
  <c r="BB76" i="30"/>
  <c r="CT76" i="30" s="1"/>
  <c r="BV76" i="30"/>
  <c r="DB76" i="30" s="1"/>
  <c r="CF76" i="30"/>
  <c r="DF76" i="30" s="1"/>
  <c r="BG76" i="30"/>
  <c r="CV76" i="30" s="1"/>
  <c r="AW76" i="30"/>
  <c r="CR76" i="30" s="1"/>
  <c r="CK76" i="30"/>
  <c r="DH76" i="30" s="1"/>
  <c r="CA76" i="30"/>
  <c r="DD76" i="30" s="1"/>
  <c r="DK84" i="30" l="1"/>
  <c r="AV77" i="30"/>
  <c r="BK77" i="30"/>
  <c r="CJ77" i="30"/>
  <c r="BU77" i="30"/>
  <c r="BA77" i="30"/>
  <c r="BF77" i="30"/>
  <c r="BZ77" i="30"/>
  <c r="CE77" i="30"/>
  <c r="BP77" i="30"/>
  <c r="AQ77" i="30"/>
  <c r="AM77" i="30" l="1"/>
  <c r="CL77" i="30"/>
  <c r="P35" i="30"/>
  <c r="V35" i="30" s="1"/>
  <c r="BG77" i="30" l="1"/>
  <c r="CV77" i="30" s="1"/>
  <c r="AR77" i="30"/>
  <c r="CP77" i="30" s="1"/>
  <c r="BQ77" i="30"/>
  <c r="CZ77" i="30" s="1"/>
  <c r="CA77" i="30"/>
  <c r="DD77" i="30" s="1"/>
  <c r="AW77" i="30"/>
  <c r="CR77" i="30" s="1"/>
  <c r="DL84" i="30" s="1"/>
  <c r="BV77" i="30"/>
  <c r="DB77" i="30" s="1"/>
  <c r="CF77" i="30"/>
  <c r="DF77" i="30" s="1"/>
  <c r="BL77" i="30"/>
  <c r="CX77" i="30" s="1"/>
  <c r="BB77" i="30"/>
  <c r="CT77" i="30" s="1"/>
  <c r="CK77" i="30"/>
  <c r="DH77" i="30" s="1"/>
  <c r="AK77" i="30"/>
  <c r="CN77" i="30" s="1"/>
  <c r="DK92" i="30" s="1"/>
  <c r="P36" i="30" l="1"/>
  <c r="V36" i="30" s="1"/>
  <c r="DM92" i="30"/>
  <c r="BZ78" i="30"/>
  <c r="CJ78" i="30"/>
  <c r="BK78" i="30"/>
  <c r="BU78" i="30"/>
  <c r="BP78" i="30"/>
  <c r="BA78" i="30"/>
  <c r="BF78" i="30"/>
  <c r="AV78" i="30"/>
  <c r="CE78" i="30"/>
  <c r="AQ78" i="30"/>
  <c r="Q35" i="30"/>
  <c r="DM84" i="30"/>
  <c r="CL78" i="30" l="1"/>
  <c r="AM78" i="30"/>
  <c r="I52" i="30"/>
  <c r="J52" i="30" s="1"/>
  <c r="I61" i="30"/>
  <c r="J61" i="30" s="1"/>
  <c r="R36" i="30"/>
  <c r="DN92" i="30"/>
  <c r="R35" i="30"/>
  <c r="DN84" i="30"/>
  <c r="K61" i="30" l="1"/>
  <c r="K52" i="30"/>
  <c r="T35" i="30"/>
  <c r="S35" i="30"/>
  <c r="S36" i="30"/>
  <c r="T36" i="30"/>
  <c r="AW78" i="30"/>
  <c r="CR78" i="30" s="1"/>
  <c r="BG78" i="30"/>
  <c r="CV78" i="30" s="1"/>
  <c r="BQ78" i="30"/>
  <c r="CZ78" i="30" s="1"/>
  <c r="CA78" i="30"/>
  <c r="DD78" i="30" s="1"/>
  <c r="CK78" i="30"/>
  <c r="DH78" i="30" s="1"/>
  <c r="AR78" i="30"/>
  <c r="CP78" i="30" s="1"/>
  <c r="AK78" i="30"/>
  <c r="CN78" i="30" s="1"/>
  <c r="DK76" i="30" s="1"/>
  <c r="BB78" i="30"/>
  <c r="CT78" i="30" s="1"/>
  <c r="BL78" i="30"/>
  <c r="CX78" i="30" s="1"/>
  <c r="BV78" i="30"/>
  <c r="DB78" i="30" s="1"/>
  <c r="CF78" i="30"/>
  <c r="DF78" i="30" s="1"/>
  <c r="P37" i="30" l="1"/>
  <c r="V37" i="30" s="1"/>
  <c r="DM76" i="30"/>
  <c r="AQ79" i="30"/>
  <c r="BA79" i="30"/>
  <c r="AV79" i="30"/>
  <c r="BZ79" i="30"/>
  <c r="CE79" i="30"/>
  <c r="BK79" i="30"/>
  <c r="BU79" i="30"/>
  <c r="BF79" i="30"/>
  <c r="CJ79" i="30"/>
  <c r="BP79" i="30"/>
  <c r="R37" i="30" l="1"/>
  <c r="I53" i="30"/>
  <c r="J53" i="30" s="1"/>
  <c r="DN76" i="30"/>
  <c r="I62" i="30"/>
  <c r="J62" i="30" s="1"/>
  <c r="CL79" i="30"/>
  <c r="AM79" i="30"/>
  <c r="K62" i="30" l="1"/>
  <c r="E16" i="30"/>
  <c r="AK79" i="30"/>
  <c r="CN79" i="30" s="1"/>
  <c r="AV80" i="30" s="1"/>
  <c r="CK79" i="30"/>
  <c r="DH79" i="30" s="1"/>
  <c r="BV79" i="30"/>
  <c r="DB79" i="30" s="1"/>
  <c r="AR79" i="30"/>
  <c r="CP79" i="30" s="1"/>
  <c r="BB79" i="30"/>
  <c r="CT79" i="30" s="1"/>
  <c r="BL79" i="30"/>
  <c r="CX79" i="30" s="1"/>
  <c r="CF79" i="30"/>
  <c r="DF79" i="30" s="1"/>
  <c r="CA79" i="30"/>
  <c r="DD79" i="30" s="1"/>
  <c r="AW79" i="30"/>
  <c r="CR79" i="30" s="1"/>
  <c r="BG79" i="30"/>
  <c r="CV79" i="30" s="1"/>
  <c r="BQ79" i="30"/>
  <c r="CZ79" i="30" s="1"/>
  <c r="K53" i="30"/>
  <c r="F15" i="30"/>
  <c r="T37" i="30"/>
  <c r="S37" i="30"/>
  <c r="BF80" i="30" l="1"/>
  <c r="BA80" i="30"/>
  <c r="BP80" i="30"/>
  <c r="CJ80" i="30"/>
  <c r="BK80" i="30"/>
  <c r="BU80" i="30"/>
  <c r="CE80" i="30"/>
  <c r="BZ80" i="30"/>
  <c r="AQ80" i="30"/>
  <c r="CL80" i="30"/>
  <c r="AR80" i="30"/>
  <c r="CP80" i="30"/>
  <c r="AQ81" i="30"/>
  <c r="AK80" i="30"/>
  <c r="CN80" i="30"/>
  <c r="AV81" i="30"/>
  <c r="BB80" i="30"/>
  <c r="CT80" i="30"/>
  <c r="BG80" i="30"/>
  <c r="CV80" i="30"/>
  <c r="BL80" i="30"/>
  <c r="CX80" i="30"/>
  <c r="BQ80" i="30"/>
  <c r="CZ80" i="30"/>
  <c r="BV80" i="30"/>
  <c r="DB80" i="30"/>
  <c r="CA80" i="30"/>
  <c r="DD80" i="30"/>
  <c r="CF80" i="30"/>
  <c r="DF80" i="30"/>
  <c r="CK80" i="30"/>
  <c r="DH80" i="30"/>
  <c r="BU81" i="30"/>
  <c r="CE81" i="30"/>
  <c r="BK81" i="30"/>
  <c r="CJ81" i="30"/>
  <c r="BF81" i="30"/>
  <c r="BZ81" i="30"/>
  <c r="BP81" i="30"/>
  <c r="AM80" i="30"/>
  <c r="DK106" i="30"/>
  <c r="AW80" i="30"/>
  <c r="CR80" i="30"/>
  <c r="BA81" i="30"/>
  <c r="CL81" i="30"/>
  <c r="BL81" i="30"/>
  <c r="CX81" i="30"/>
  <c r="CA81" i="30"/>
  <c r="DD81" i="30"/>
  <c r="AK81" i="30"/>
  <c r="CN81" i="30"/>
  <c r="AV84" i="30"/>
  <c r="AR81" i="30"/>
  <c r="CP81" i="30"/>
  <c r="AQ82" i="30"/>
  <c r="BB81" i="30"/>
  <c r="CT81" i="30"/>
  <c r="BG81" i="30"/>
  <c r="CV81" i="30"/>
  <c r="BQ81" i="30"/>
  <c r="CZ81" i="30"/>
  <c r="BV81" i="30"/>
  <c r="DB81" i="30"/>
  <c r="CF81" i="30"/>
  <c r="DF81" i="30"/>
  <c r="AM81" i="30"/>
  <c r="AW81" i="30"/>
  <c r="CR81" i="30"/>
  <c r="DL106" i="30"/>
  <c r="DM106" i="30"/>
  <c r="DN106" i="30"/>
  <c r="CK81" i="30"/>
  <c r="DH81" i="30"/>
  <c r="DK107" i="30"/>
  <c r="BU82" i="30"/>
  <c r="BK82" i="30"/>
  <c r="BP82" i="30"/>
  <c r="BZ82" i="30"/>
  <c r="BF82" i="30"/>
  <c r="BA82" i="30"/>
  <c r="CJ82" i="30"/>
  <c r="CE82" i="30"/>
  <c r="AV82" i="30"/>
  <c r="CL82" i="30"/>
  <c r="BV82" i="30"/>
  <c r="DB82" i="30"/>
  <c r="AR82" i="30"/>
  <c r="CP82" i="30"/>
  <c r="AQ83" i="30"/>
  <c r="AK82" i="30"/>
  <c r="CN82" i="30"/>
  <c r="AV83" i="30"/>
  <c r="AW82" i="30"/>
  <c r="CR82" i="30"/>
  <c r="BB82" i="30"/>
  <c r="CT82" i="30"/>
  <c r="BG82" i="30"/>
  <c r="CV82" i="30"/>
  <c r="BL82" i="30"/>
  <c r="CX82" i="30"/>
  <c r="BQ82" i="30"/>
  <c r="CZ82" i="30"/>
  <c r="CA82" i="30"/>
  <c r="DD82" i="30"/>
  <c r="CF82" i="30"/>
  <c r="DF82" i="30"/>
  <c r="CK82" i="30"/>
  <c r="DH82" i="30"/>
  <c r="BK83" i="30"/>
  <c r="BP83" i="30"/>
  <c r="BZ83" i="30"/>
  <c r="CE83" i="30"/>
  <c r="CJ83" i="30"/>
  <c r="BU83" i="30"/>
  <c r="BF83" i="30"/>
  <c r="AM82" i="30"/>
  <c r="BA83" i="30"/>
  <c r="CL83" i="30"/>
  <c r="CF83" i="30"/>
  <c r="DF83" i="30"/>
  <c r="AR83" i="30"/>
  <c r="CP83" i="30"/>
  <c r="AQ84" i="30"/>
  <c r="AK83" i="30"/>
  <c r="CN83" i="30"/>
  <c r="BA84" i="30"/>
  <c r="BB83" i="30"/>
  <c r="CT83" i="30"/>
  <c r="BG83" i="30"/>
  <c r="CV83" i="30"/>
  <c r="BL83" i="30"/>
  <c r="CX83" i="30"/>
  <c r="BQ83" i="30"/>
  <c r="CZ83" i="30"/>
  <c r="BV83" i="30"/>
  <c r="DB83" i="30"/>
  <c r="CA83" i="30"/>
  <c r="DD83" i="30"/>
  <c r="CK83" i="30"/>
  <c r="DH83" i="30"/>
  <c r="AM83" i="30"/>
  <c r="AW83" i="30"/>
  <c r="CR83" i="30"/>
  <c r="BZ84" i="30"/>
  <c r="BU84" i="30"/>
  <c r="CJ84" i="30"/>
  <c r="BP84" i="30"/>
  <c r="BK84" i="30"/>
  <c r="CE84" i="30"/>
  <c r="BF84" i="30"/>
  <c r="CL84" i="30"/>
  <c r="BQ84" i="30"/>
  <c r="CZ84" i="30"/>
  <c r="BG84" i="30"/>
  <c r="CV84" i="30"/>
  <c r="BL84" i="30"/>
  <c r="CX84" i="30"/>
  <c r="BV84" i="30"/>
  <c r="DB84" i="30"/>
  <c r="CA84" i="30"/>
  <c r="DD84" i="30"/>
  <c r="CF84" i="30"/>
  <c r="DF84" i="30"/>
  <c r="AR84" i="30"/>
  <c r="CP84" i="30"/>
  <c r="AQ86" i="30"/>
  <c r="AK84" i="30"/>
  <c r="CN84" i="30"/>
  <c r="DK63" i="30"/>
  <c r="DM63" i="30"/>
  <c r="I63" i="30"/>
  <c r="J63" i="30"/>
  <c r="K63" i="30"/>
  <c r="CK84" i="30"/>
  <c r="DH84" i="30"/>
  <c r="BA85" i="30"/>
  <c r="BP85" i="30"/>
  <c r="BF85" i="30"/>
  <c r="CJ85" i="30"/>
  <c r="BK85" i="30"/>
  <c r="BZ85" i="30"/>
  <c r="CE85" i="30"/>
  <c r="BU85" i="30"/>
  <c r="BB84" i="30"/>
  <c r="CT84" i="30"/>
  <c r="AW84" i="30"/>
  <c r="CR84" i="30"/>
  <c r="DL107" i="30"/>
  <c r="DM107" i="30"/>
  <c r="DN107" i="30"/>
  <c r="DN63" i="30"/>
  <c r="P38" i="30"/>
  <c r="V38" i="30"/>
  <c r="R38" i="30"/>
  <c r="T38" i="30"/>
  <c r="S38" i="30"/>
  <c r="AM84" i="30"/>
  <c r="AV85" i="30"/>
  <c r="CL85" i="30"/>
  <c r="BV85" i="30"/>
  <c r="DB85" i="30"/>
  <c r="AW85" i="30"/>
  <c r="CR85" i="30"/>
  <c r="BB85" i="30"/>
  <c r="CT85" i="30"/>
  <c r="BG85" i="30"/>
  <c r="CV85" i="30"/>
  <c r="BL85" i="30"/>
  <c r="CX85" i="30"/>
  <c r="BQ85" i="30"/>
  <c r="CZ85" i="30"/>
  <c r="AR85" i="30"/>
  <c r="CP85" i="30"/>
  <c r="AQ88" i="30"/>
  <c r="CA85" i="30"/>
  <c r="DD85" i="30"/>
  <c r="CK85" i="30"/>
  <c r="DH85" i="30"/>
  <c r="AM85" i="30"/>
  <c r="AK85" i="30"/>
  <c r="CN85" i="30"/>
  <c r="CF85" i="30"/>
  <c r="DF85" i="30"/>
  <c r="CJ86" i="30"/>
  <c r="BK86" i="30"/>
  <c r="CE86" i="30"/>
  <c r="BF86" i="30"/>
  <c r="BA86" i="30"/>
  <c r="BZ86" i="30"/>
  <c r="BP86" i="30"/>
  <c r="BU86" i="30"/>
  <c r="AV86" i="30"/>
  <c r="CL86" i="30"/>
  <c r="CF86" i="30"/>
  <c r="DF86" i="30"/>
  <c r="AR86" i="30"/>
  <c r="CP86" i="30"/>
  <c r="AQ87" i="30"/>
  <c r="AK86" i="30"/>
  <c r="CN86" i="30"/>
  <c r="AV87" i="30"/>
  <c r="AW86" i="30"/>
  <c r="CR86" i="30"/>
  <c r="BB86" i="30"/>
  <c r="CT86" i="30"/>
  <c r="BG86" i="30"/>
  <c r="CV86" i="30"/>
  <c r="BL86" i="30"/>
  <c r="CX86" i="30"/>
  <c r="BQ86" i="30"/>
  <c r="CZ86" i="30"/>
  <c r="BV86" i="30"/>
  <c r="DB86" i="30"/>
  <c r="CA86" i="30"/>
  <c r="DD86" i="30"/>
  <c r="CK86" i="30"/>
  <c r="DH86" i="30"/>
  <c r="BF87" i="30"/>
  <c r="CE87" i="30"/>
  <c r="BK87" i="30"/>
  <c r="BP87" i="30"/>
  <c r="BZ87" i="30"/>
  <c r="CJ87" i="30"/>
  <c r="BU87" i="30"/>
  <c r="AM86" i="30"/>
  <c r="BA87" i="30"/>
  <c r="CL87" i="30"/>
  <c r="BV87" i="30"/>
  <c r="DB87" i="30"/>
  <c r="BB87" i="30"/>
  <c r="CT87" i="30"/>
  <c r="BG87" i="30"/>
  <c r="CV87" i="30"/>
  <c r="BL87" i="30"/>
  <c r="CX87" i="30"/>
  <c r="BQ87" i="30"/>
  <c r="CZ87" i="30"/>
  <c r="CA87" i="30"/>
  <c r="DD87" i="30"/>
  <c r="AR87" i="30"/>
  <c r="CP87" i="30"/>
  <c r="AQ89" i="30"/>
  <c r="AK87" i="30"/>
  <c r="CN87" i="30"/>
  <c r="AV89" i="30"/>
  <c r="CK87" i="30"/>
  <c r="DH87" i="30"/>
  <c r="AM87" i="30"/>
  <c r="AW87" i="30"/>
  <c r="CR87" i="30"/>
  <c r="CF87" i="30"/>
  <c r="DF87" i="30"/>
  <c r="CE88" i="30"/>
  <c r="BU88" i="30"/>
  <c r="BZ88" i="30"/>
  <c r="BP88" i="30"/>
  <c r="CJ88" i="30"/>
  <c r="BK88" i="30"/>
  <c r="BA88" i="30"/>
  <c r="BF88" i="30"/>
  <c r="AV88" i="30"/>
  <c r="CL88" i="30"/>
  <c r="BQ88" i="30"/>
  <c r="CZ88" i="30"/>
  <c r="AK88" i="30"/>
  <c r="CN88" i="30"/>
  <c r="BA89" i="30"/>
  <c r="AW88" i="30"/>
  <c r="CR88" i="30"/>
  <c r="BB88" i="30"/>
  <c r="CT88" i="30"/>
  <c r="BG88" i="30"/>
  <c r="CV88" i="30"/>
  <c r="BL88" i="30"/>
  <c r="CX88" i="30"/>
  <c r="BV88" i="30"/>
  <c r="DB88" i="30"/>
  <c r="AR88" i="30"/>
  <c r="CP88" i="30"/>
  <c r="AQ90" i="30"/>
  <c r="CF88" i="30"/>
  <c r="DF88" i="30"/>
  <c r="CA88" i="30"/>
  <c r="DD88" i="30"/>
  <c r="CK88" i="30"/>
  <c r="DH88" i="30"/>
  <c r="BU89" i="30"/>
  <c r="BZ89" i="30"/>
  <c r="CE89" i="30"/>
  <c r="BK89" i="30"/>
  <c r="CJ89" i="30"/>
  <c r="BP89" i="30"/>
  <c r="DK69" i="30"/>
  <c r="AM88" i="30"/>
  <c r="BF89" i="30"/>
  <c r="CL89" i="30"/>
  <c r="CA89" i="30"/>
  <c r="DD89" i="30"/>
  <c r="BG89" i="30"/>
  <c r="CV89" i="30"/>
  <c r="BL89" i="30"/>
  <c r="CX89" i="30"/>
  <c r="BQ89" i="30"/>
  <c r="CZ89" i="30"/>
  <c r="BV89" i="30"/>
  <c r="DB89" i="30"/>
  <c r="CF89" i="30"/>
  <c r="DF89" i="30"/>
  <c r="AR89" i="30"/>
  <c r="CP89" i="30"/>
  <c r="AQ91" i="30"/>
  <c r="AK89" i="30"/>
  <c r="CN89" i="30"/>
  <c r="AV91" i="30"/>
  <c r="AM89" i="30"/>
  <c r="DK67" i="30"/>
  <c r="CK89" i="30"/>
  <c r="DH89" i="30"/>
  <c r="BB89" i="30"/>
  <c r="CT89" i="30"/>
  <c r="DL69" i="30"/>
  <c r="DM69" i="30"/>
  <c r="DN69" i="30"/>
  <c r="AW89" i="30"/>
  <c r="CR89" i="30"/>
  <c r="BU90" i="30"/>
  <c r="CE90" i="30"/>
  <c r="BP90" i="30"/>
  <c r="CJ90" i="30"/>
  <c r="BF90" i="30"/>
  <c r="BA90" i="30"/>
  <c r="BK90" i="30"/>
  <c r="BZ90" i="30"/>
  <c r="AV90" i="30"/>
  <c r="AM90" i="30" s="1"/>
  <c r="CL90" i="30" l="1"/>
  <c r="BQ90" i="30" l="1"/>
  <c r="CZ90" i="30" s="1"/>
  <c r="BV90" i="30"/>
  <c r="DB90" i="30" s="1"/>
  <c r="AW90" i="30"/>
  <c r="CR90" i="30" s="1"/>
  <c r="CK90" i="30"/>
  <c r="DH90" i="30" s="1"/>
  <c r="BB90" i="30"/>
  <c r="CT90" i="30" s="1"/>
  <c r="BG90" i="30"/>
  <c r="CV90" i="30" s="1"/>
  <c r="CA90" i="30"/>
  <c r="DD90" i="30" s="1"/>
  <c r="CF90" i="30"/>
  <c r="DF90" i="30" s="1"/>
  <c r="AR90" i="30"/>
  <c r="CP90" i="30" s="1"/>
  <c r="AK90" i="30"/>
  <c r="CN90" i="30" s="1"/>
  <c r="BA91" i="30" s="1"/>
  <c r="BL90" i="30"/>
  <c r="CX90" i="30" s="1"/>
  <c r="CJ91" i="30" l="1"/>
  <c r="BP91" i="30"/>
  <c r="BK91" i="30"/>
  <c r="CE91" i="30"/>
  <c r="BZ91" i="30"/>
  <c r="BF91" i="30"/>
  <c r="BU91" i="30"/>
  <c r="AM91" i="30"/>
  <c r="CL91" i="30"/>
  <c r="AQ97" i="30"/>
  <c r="BQ91" i="30" l="1"/>
  <c r="CZ91" i="30" s="1"/>
  <c r="BV91" i="30"/>
  <c r="DB91" i="30" s="1"/>
  <c r="AW91" i="30"/>
  <c r="CR91" i="30" s="1"/>
  <c r="DL67" i="30" s="1"/>
  <c r="DM67" i="30" s="1"/>
  <c r="DN67" i="30" s="1"/>
  <c r="BB91" i="30"/>
  <c r="CT91" i="30" s="1"/>
  <c r="CA91" i="30"/>
  <c r="DD91" i="30" s="1"/>
  <c r="BL91" i="30"/>
  <c r="CX91" i="30" s="1"/>
  <c r="CF91" i="30"/>
  <c r="DF91" i="30" s="1"/>
  <c r="BG91" i="30"/>
  <c r="CV91" i="30" s="1"/>
  <c r="CK91" i="30"/>
  <c r="DH91" i="30" s="1"/>
  <c r="AK91" i="30"/>
  <c r="CN91" i="30" s="1"/>
  <c r="DK65" i="30" s="1"/>
  <c r="AR91" i="30"/>
  <c r="CP91" i="30" s="1"/>
  <c r="CJ92" i="30" l="1"/>
  <c r="BU92" i="30"/>
  <c r="BP92" i="30"/>
  <c r="BF92" i="30"/>
  <c r="CE92" i="30"/>
  <c r="BZ92" i="30"/>
  <c r="BK92" i="30"/>
  <c r="AV92" i="30"/>
  <c r="BA92" i="30"/>
  <c r="P39" i="30"/>
  <c r="V39" i="30" s="1"/>
  <c r="DM65" i="30"/>
  <c r="AQ92" i="30"/>
  <c r="I64" i="30" l="1"/>
  <c r="J64" i="30" s="1"/>
  <c r="R39" i="30"/>
  <c r="DN65" i="30"/>
  <c r="AM92" i="30"/>
  <c r="CL92" i="30"/>
  <c r="BQ92" i="30" l="1"/>
  <c r="CZ92" i="30" s="1"/>
  <c r="BV92" i="30"/>
  <c r="DB92" i="30" s="1"/>
  <c r="AK92" i="30"/>
  <c r="CN92" i="30" s="1"/>
  <c r="AV93" i="30" s="1"/>
  <c r="AW92" i="30"/>
  <c r="CR92" i="30" s="1"/>
  <c r="CK92" i="30"/>
  <c r="DH92" i="30" s="1"/>
  <c r="BB92" i="30"/>
  <c r="CT92" i="30" s="1"/>
  <c r="BG92" i="30"/>
  <c r="CV92" i="30" s="1"/>
  <c r="AR92" i="30"/>
  <c r="CP92" i="30" s="1"/>
  <c r="CA92" i="30"/>
  <c r="DD92" i="30" s="1"/>
  <c r="BL92" i="30"/>
  <c r="CX92" i="30" s="1"/>
  <c r="CF92" i="30"/>
  <c r="DF92" i="30" s="1"/>
  <c r="T39" i="30"/>
  <c r="S39" i="30"/>
  <c r="K64" i="30"/>
  <c r="AQ93" i="30" l="1"/>
  <c r="BA93" i="30"/>
  <c r="BU93" i="30"/>
  <c r="BP93" i="30"/>
  <c r="BK93" i="30"/>
  <c r="CJ93" i="30"/>
  <c r="BZ93" i="30"/>
  <c r="CE93" i="30"/>
  <c r="BF93" i="30"/>
  <c r="AM93" i="30" l="1"/>
  <c r="CL93" i="30"/>
  <c r="BQ93" i="30" l="1"/>
  <c r="CZ93" i="30" s="1"/>
  <c r="BV93" i="30"/>
  <c r="DB93" i="30" s="1"/>
  <c r="AK93" i="30"/>
  <c r="CN93" i="30" s="1"/>
  <c r="CK93" i="30"/>
  <c r="DH93" i="30" s="1"/>
  <c r="BG93" i="30"/>
  <c r="CV93" i="30" s="1"/>
  <c r="AW93" i="30"/>
  <c r="CR93" i="30" s="1"/>
  <c r="BB93" i="30"/>
  <c r="CT93" i="30" s="1"/>
  <c r="AR93" i="30"/>
  <c r="CP93" i="30" s="1"/>
  <c r="CA93" i="30"/>
  <c r="DD93" i="30" s="1"/>
  <c r="CF93" i="30"/>
  <c r="DF93" i="30" s="1"/>
  <c r="BL93" i="30"/>
  <c r="CX93" i="30" s="1"/>
  <c r="AQ94" i="30" l="1"/>
  <c r="AV99" i="30"/>
  <c r="DK83" i="30"/>
  <c r="BP94" i="30"/>
  <c r="BZ94" i="30"/>
  <c r="CE94" i="30"/>
  <c r="BU94" i="30"/>
  <c r="BK94" i="30"/>
  <c r="BF94" i="30"/>
  <c r="CJ94" i="30"/>
  <c r="BA94" i="30"/>
  <c r="AV94" i="30"/>
  <c r="AM94" i="30" l="1"/>
  <c r="CL94" i="30"/>
  <c r="BQ94" i="30" l="1"/>
  <c r="CZ94" i="30" s="1"/>
  <c r="BV94" i="30"/>
  <c r="DB94" i="30" s="1"/>
  <c r="BL94" i="30"/>
  <c r="CX94" i="30" s="1"/>
  <c r="AR94" i="30"/>
  <c r="CP94" i="30" s="1"/>
  <c r="AK94" i="30"/>
  <c r="CN94" i="30" s="1"/>
  <c r="BB94" i="30"/>
  <c r="CT94" i="30" s="1"/>
  <c r="BG94" i="30"/>
  <c r="CV94" i="30" s="1"/>
  <c r="CK94" i="30"/>
  <c r="DH94" i="30" s="1"/>
  <c r="AW94" i="30"/>
  <c r="CR94" i="30" s="1"/>
  <c r="CF94" i="30"/>
  <c r="DF94" i="30" s="1"/>
  <c r="CA94" i="30"/>
  <c r="DD94" i="30" s="1"/>
  <c r="CJ95" i="30" l="1"/>
  <c r="BK95" i="30"/>
  <c r="BF95" i="30"/>
  <c r="CE95" i="30"/>
  <c r="BZ95" i="30"/>
  <c r="BU95" i="30"/>
  <c r="BP95" i="30"/>
  <c r="BA95" i="30"/>
  <c r="AQ95" i="30"/>
  <c r="AV95" i="30"/>
  <c r="AM95" i="30" l="1"/>
  <c r="CL95" i="30"/>
  <c r="BQ95" i="30" l="1"/>
  <c r="CZ95" i="30" s="1"/>
  <c r="BV95" i="30"/>
  <c r="DB95" i="30" s="1"/>
  <c r="CK95" i="30"/>
  <c r="DH95" i="30" s="1"/>
  <c r="BG95" i="30"/>
  <c r="CV95" i="30" s="1"/>
  <c r="AK95" i="30"/>
  <c r="CN95" i="30" s="1"/>
  <c r="AR95" i="30"/>
  <c r="CP95" i="30" s="1"/>
  <c r="AW95" i="30"/>
  <c r="CR95" i="30" s="1"/>
  <c r="BB95" i="30"/>
  <c r="CT95" i="30" s="1"/>
  <c r="CF95" i="30"/>
  <c r="DF95" i="30" s="1"/>
  <c r="CA95" i="30"/>
  <c r="DD95" i="30" s="1"/>
  <c r="BL95" i="30"/>
  <c r="CX95" i="30" s="1"/>
  <c r="CJ96" i="30" l="1"/>
  <c r="BF96" i="30"/>
  <c r="BZ96" i="30"/>
  <c r="BU96" i="30"/>
  <c r="BA96" i="30"/>
  <c r="AV96" i="30"/>
  <c r="BP96" i="30"/>
  <c r="CE96" i="30"/>
  <c r="BK96" i="30"/>
  <c r="AQ96" i="30"/>
  <c r="BA99" i="30"/>
  <c r="CL96" i="30" l="1"/>
  <c r="AM96" i="30"/>
  <c r="BQ96" i="30" l="1"/>
  <c r="CZ96" i="30" s="1"/>
  <c r="BV96" i="30"/>
  <c r="DB96" i="30" s="1"/>
  <c r="BL96" i="30"/>
  <c r="CX96" i="30" s="1"/>
  <c r="CK96" i="30"/>
  <c r="DH96" i="30" s="1"/>
  <c r="BG96" i="30"/>
  <c r="CV96" i="30" s="1"/>
  <c r="AR96" i="30"/>
  <c r="CP96" i="30" s="1"/>
  <c r="BB96" i="30"/>
  <c r="CT96" i="30" s="1"/>
  <c r="AW96" i="30"/>
  <c r="CR96" i="30" s="1"/>
  <c r="AK96" i="30"/>
  <c r="CN96" i="30" s="1"/>
  <c r="CA96" i="30"/>
  <c r="DD96" i="30" s="1"/>
  <c r="CF96" i="30"/>
  <c r="DF96" i="30" s="1"/>
  <c r="BP97" i="30" l="1"/>
  <c r="AV97" i="30"/>
  <c r="BA97" i="30"/>
  <c r="BF97" i="30"/>
  <c r="BZ97" i="30"/>
  <c r="BK97" i="30"/>
  <c r="BU97" i="30"/>
  <c r="CJ97" i="30"/>
  <c r="CE97" i="30"/>
  <c r="BA98" i="30"/>
  <c r="CL97" i="30" l="1"/>
  <c r="AM97" i="30"/>
  <c r="BQ97" i="30" l="1"/>
  <c r="CZ97" i="30" s="1"/>
  <c r="BV97" i="30"/>
  <c r="DB97" i="30" s="1"/>
  <c r="AW97" i="30"/>
  <c r="CR97" i="30" s="1"/>
  <c r="BL97" i="30"/>
  <c r="CX97" i="30" s="1"/>
  <c r="AK97" i="30"/>
  <c r="CN97" i="30" s="1"/>
  <c r="BG97" i="30"/>
  <c r="CV97" i="30" s="1"/>
  <c r="CK97" i="30"/>
  <c r="DH97" i="30" s="1"/>
  <c r="AR97" i="30"/>
  <c r="CP97" i="30" s="1"/>
  <c r="BB97" i="30"/>
  <c r="CT97" i="30" s="1"/>
  <c r="CF97" i="30"/>
  <c r="DF97" i="30" s="1"/>
  <c r="CA97" i="30"/>
  <c r="DD97" i="30" s="1"/>
  <c r="AQ108" i="30" l="1"/>
  <c r="BP98" i="30"/>
  <c r="BZ98" i="30"/>
  <c r="BK98" i="30"/>
  <c r="CJ98" i="30"/>
  <c r="CE98" i="30"/>
  <c r="BF98" i="30"/>
  <c r="BU98" i="30"/>
  <c r="AV98" i="30"/>
  <c r="AQ98" i="30"/>
  <c r="CL98" i="30"/>
  <c r="AR98" i="30"/>
  <c r="CP98" i="30"/>
  <c r="AQ99" i="30"/>
  <c r="BG98" i="30"/>
  <c r="CV98" i="30"/>
  <c r="BL98" i="30"/>
  <c r="CX98" i="30"/>
  <c r="BQ98" i="30"/>
  <c r="CZ98" i="30"/>
  <c r="BV98" i="30"/>
  <c r="DB98" i="30"/>
  <c r="CA98" i="30"/>
  <c r="DD98" i="30"/>
  <c r="CF98" i="30"/>
  <c r="DF98" i="30"/>
  <c r="CK98" i="30"/>
  <c r="DH98" i="30"/>
  <c r="BU99" i="30"/>
  <c r="BK99" i="30"/>
  <c r="BZ99" i="30"/>
  <c r="BP99" i="30"/>
  <c r="CE99" i="30"/>
  <c r="CJ99" i="30"/>
  <c r="AK98" i="30"/>
  <c r="CN98" i="30"/>
  <c r="BB98" i="30"/>
  <c r="CT98" i="30"/>
  <c r="AM98" i="30"/>
  <c r="BA100" i="30"/>
  <c r="AW98" i="30"/>
  <c r="CR98" i="30"/>
  <c r="BF99" i="30"/>
  <c r="CL99" i="30"/>
  <c r="AR99" i="30"/>
  <c r="CP99" i="30"/>
  <c r="AQ100" i="30"/>
  <c r="AK99" i="30"/>
  <c r="CN99" i="30"/>
  <c r="AV100" i="30"/>
  <c r="BG99" i="30"/>
  <c r="CV99" i="30"/>
  <c r="BL99" i="30"/>
  <c r="CX99" i="30"/>
  <c r="BQ99" i="30"/>
  <c r="CZ99" i="30"/>
  <c r="BV99" i="30"/>
  <c r="DB99" i="30"/>
  <c r="CA99" i="30"/>
  <c r="DD99" i="30"/>
  <c r="BB99" i="30"/>
  <c r="CT99" i="30"/>
  <c r="AM99" i="30"/>
  <c r="CK99" i="30"/>
  <c r="DH99" i="30"/>
  <c r="AW99" i="30"/>
  <c r="CR99" i="30"/>
  <c r="DL83" i="30"/>
  <c r="DM83" i="30"/>
  <c r="DN83" i="30"/>
  <c r="DK31" i="30"/>
  <c r="CF99" i="30"/>
  <c r="DF99" i="30"/>
  <c r="CJ100" i="30"/>
  <c r="BU100" i="30"/>
  <c r="BK100" i="30"/>
  <c r="BP100" i="30"/>
  <c r="BZ100" i="30"/>
  <c r="CE100" i="30"/>
  <c r="BF100" i="30"/>
  <c r="CL100" i="30"/>
  <c r="AR100" i="30"/>
  <c r="CP100" i="30"/>
  <c r="AQ101" i="30"/>
  <c r="BG100" i="30"/>
  <c r="CV100" i="30"/>
  <c r="BL100" i="30"/>
  <c r="CX100" i="30"/>
  <c r="BQ100" i="30"/>
  <c r="CZ100" i="30"/>
  <c r="BV100" i="30"/>
  <c r="DB100" i="30"/>
  <c r="CA100" i="30"/>
  <c r="DD100" i="30"/>
  <c r="CF100" i="30"/>
  <c r="DF100" i="30"/>
  <c r="CK100" i="30"/>
  <c r="DH100" i="30"/>
  <c r="BK101" i="30"/>
  <c r="CE101" i="30"/>
  <c r="BP101" i="30"/>
  <c r="BU101" i="30"/>
  <c r="CJ101" i="30"/>
  <c r="BF101" i="30"/>
  <c r="BZ101" i="30"/>
  <c r="BA101" i="30"/>
  <c r="AK100" i="30"/>
  <c r="CN100" i="30"/>
  <c r="DK30" i="30"/>
  <c r="DM30" i="30"/>
  <c r="I65" i="30"/>
  <c r="J65" i="30"/>
  <c r="K65" i="30"/>
  <c r="AW100" i="30"/>
  <c r="CR100" i="30"/>
  <c r="DL31" i="30"/>
  <c r="DM31" i="30"/>
  <c r="DN31" i="30"/>
  <c r="AM100" i="30"/>
  <c r="DN30" i="30"/>
  <c r="R40" i="30"/>
  <c r="T40" i="30"/>
  <c r="S40" i="30"/>
  <c r="P40" i="30"/>
  <c r="V40" i="30"/>
  <c r="BB100" i="30"/>
  <c r="CT100" i="30"/>
  <c r="AV101" i="30"/>
  <c r="CL101" i="30"/>
  <c r="AR101" i="30"/>
  <c r="CP101" i="30"/>
  <c r="AQ102" i="30"/>
  <c r="AK101" i="30"/>
  <c r="CN101" i="30"/>
  <c r="AV102" i="30"/>
  <c r="AW101" i="30"/>
  <c r="CR101" i="30"/>
  <c r="BB101" i="30"/>
  <c r="CT101" i="30"/>
  <c r="BG101" i="30"/>
  <c r="CV101" i="30"/>
  <c r="BL101" i="30"/>
  <c r="CX101" i="30"/>
  <c r="BQ101" i="30"/>
  <c r="CZ101" i="30"/>
  <c r="BV101" i="30"/>
  <c r="DB101" i="30"/>
  <c r="AM101" i="30"/>
  <c r="CK101" i="30"/>
  <c r="DH101" i="30"/>
  <c r="CF101" i="30"/>
  <c r="DF101" i="30"/>
  <c r="CA101" i="30"/>
  <c r="DD101" i="30"/>
  <c r="BP102" i="30"/>
  <c r="CJ102" i="30"/>
  <c r="BF102" i="30"/>
  <c r="BK102" i="30"/>
  <c r="CE102" i="30"/>
  <c r="BU102" i="30"/>
  <c r="BZ102" i="30"/>
  <c r="BA102" i="30"/>
  <c r="CL102" i="30"/>
  <c r="CA102" i="30"/>
  <c r="DD102" i="30"/>
  <c r="AR102" i="30"/>
  <c r="CP102" i="30"/>
  <c r="AQ103" i="30"/>
  <c r="BB102" i="30"/>
  <c r="CT102" i="30"/>
  <c r="BG102" i="30"/>
  <c r="CV102" i="30"/>
  <c r="BL102" i="30"/>
  <c r="CX102" i="30"/>
  <c r="BQ102" i="30"/>
  <c r="CZ102" i="30"/>
  <c r="BV102" i="30"/>
  <c r="DB102" i="30"/>
  <c r="CF102" i="30"/>
  <c r="DF102" i="30"/>
  <c r="CK102" i="30"/>
  <c r="DH102" i="30"/>
  <c r="CJ103" i="30"/>
  <c r="BA103" i="30"/>
  <c r="CE103" i="30"/>
  <c r="BZ103" i="30"/>
  <c r="BK103" i="30"/>
  <c r="BP103" i="30"/>
  <c r="BF103" i="30"/>
  <c r="BU103" i="30"/>
  <c r="AW102" i="30"/>
  <c r="CR102" i="30"/>
  <c r="AM102" i="30"/>
  <c r="AK102" i="30"/>
  <c r="CN102" i="30"/>
  <c r="DK104" i="30"/>
  <c r="AV105" i="30"/>
  <c r="P24" i="30"/>
  <c r="V24" i="30"/>
  <c r="AV103" i="30"/>
  <c r="CL103" i="30"/>
  <c r="BQ103" i="30"/>
  <c r="CZ103" i="30"/>
  <c r="AR103" i="30"/>
  <c r="CP103" i="30"/>
  <c r="AQ104" i="30"/>
  <c r="AK103" i="30"/>
  <c r="CN103" i="30"/>
  <c r="AV104" i="30"/>
  <c r="AW103" i="30"/>
  <c r="CR103" i="30"/>
  <c r="BB103" i="30"/>
  <c r="CT103" i="30"/>
  <c r="BG103" i="30"/>
  <c r="CV103" i="30"/>
  <c r="BL103" i="30"/>
  <c r="CX103" i="30"/>
  <c r="BV103" i="30"/>
  <c r="DB103" i="30"/>
  <c r="AM103" i="30"/>
  <c r="CK103" i="30"/>
  <c r="DH103" i="30"/>
  <c r="CF103" i="30"/>
  <c r="DF103" i="30"/>
  <c r="CA103" i="30"/>
  <c r="DD103" i="30"/>
  <c r="CE104" i="30"/>
  <c r="BU104" i="30"/>
  <c r="CJ104" i="30"/>
  <c r="BK104" i="30"/>
  <c r="BZ104" i="30"/>
  <c r="BF104" i="30"/>
  <c r="BP104" i="30"/>
  <c r="BA104" i="30"/>
  <c r="CL104" i="30"/>
  <c r="CA104" i="30"/>
  <c r="DD104" i="30"/>
  <c r="AR104" i="30"/>
  <c r="CP104" i="30"/>
  <c r="AQ105" i="30"/>
  <c r="AK104" i="30"/>
  <c r="CN104" i="30"/>
  <c r="BA105" i="30"/>
  <c r="BB104" i="30"/>
  <c r="CT104" i="30"/>
  <c r="BG104" i="30"/>
  <c r="CV104" i="30"/>
  <c r="BL104" i="30"/>
  <c r="CX104" i="30"/>
  <c r="BQ104" i="30"/>
  <c r="CZ104" i="30"/>
  <c r="BV104" i="30"/>
  <c r="DB104" i="30"/>
  <c r="CF104" i="30"/>
  <c r="DF104" i="30"/>
  <c r="CK104" i="30"/>
  <c r="DH104" i="30"/>
  <c r="BU105" i="30"/>
  <c r="CJ105" i="30"/>
  <c r="BP105" i="30"/>
  <c r="CE105" i="30"/>
  <c r="BK105" i="30"/>
  <c r="BZ105" i="30"/>
  <c r="AM104" i="30"/>
  <c r="DK72" i="30"/>
  <c r="AW104" i="30"/>
  <c r="CR104" i="30"/>
  <c r="BF105" i="30"/>
  <c r="CL105" i="30"/>
  <c r="BQ105" i="30"/>
  <c r="CZ105" i="30"/>
  <c r="AR105" i="30"/>
  <c r="CP105" i="30"/>
  <c r="AQ106" i="30"/>
  <c r="BG105" i="30"/>
  <c r="CV105" i="30"/>
  <c r="BL105" i="30"/>
  <c r="CX105" i="30"/>
  <c r="BV105" i="30"/>
  <c r="DB105" i="30"/>
  <c r="CA105" i="30"/>
  <c r="DD105" i="30"/>
  <c r="CF105" i="30"/>
  <c r="DF105" i="30"/>
  <c r="AW105" i="30"/>
  <c r="CR105" i="30"/>
  <c r="DL104" i="30"/>
  <c r="DM104" i="30"/>
  <c r="I45" i="30"/>
  <c r="J45" i="30"/>
  <c r="K45" i="30"/>
  <c r="E15" i="30"/>
  <c r="H15" i="30"/>
  <c r="CK105" i="30"/>
  <c r="DH105" i="30"/>
  <c r="DN104" i="30"/>
  <c r="I35" i="30"/>
  <c r="J35" i="30"/>
  <c r="D14" i="30"/>
  <c r="E14" i="30"/>
  <c r="I29" i="30"/>
  <c r="J29" i="30"/>
  <c r="K29" i="30"/>
  <c r="E13" i="30"/>
  <c r="H13" i="30"/>
  <c r="AM105" i="30"/>
  <c r="AK105" i="30"/>
  <c r="CN105" i="30"/>
  <c r="DK85" i="30"/>
  <c r="K35" i="30"/>
  <c r="H14" i="30"/>
  <c r="D13" i="30"/>
  <c r="D15" i="30"/>
  <c r="R24" i="30"/>
  <c r="S24" i="30"/>
  <c r="T24" i="30"/>
  <c r="I23" i="30"/>
  <c r="J23" i="30"/>
  <c r="K23" i="30"/>
  <c r="H11" i="30"/>
  <c r="Q24" i="30"/>
  <c r="F11" i="30"/>
  <c r="D11" i="30"/>
  <c r="AV107" i="30"/>
  <c r="BB105" i="30"/>
  <c r="CT105" i="30"/>
  <c r="DL72" i="30"/>
  <c r="DM72" i="30"/>
  <c r="DN72" i="30"/>
  <c r="BZ106" i="30"/>
  <c r="BP106" i="30"/>
  <c r="BU106" i="30"/>
  <c r="BK106" i="30"/>
  <c r="CJ106" i="30"/>
  <c r="CE106" i="30"/>
  <c r="BA106" i="30"/>
  <c r="BF106" i="30"/>
  <c r="AV106" i="30"/>
  <c r="CL106" i="30"/>
  <c r="BV106" i="30"/>
  <c r="DB106" i="30"/>
  <c r="AR106" i="30"/>
  <c r="CP106" i="30"/>
  <c r="AQ107" i="30"/>
  <c r="AK106" i="30"/>
  <c r="CN106" i="30"/>
  <c r="BA107" i="30"/>
  <c r="AW106" i="30"/>
  <c r="CR106" i="30"/>
  <c r="BB106" i="30"/>
  <c r="CT106" i="30"/>
  <c r="BG106" i="30"/>
  <c r="CV106" i="30"/>
  <c r="BL106" i="30"/>
  <c r="CX106" i="30"/>
  <c r="BQ106" i="30"/>
  <c r="CZ106" i="30"/>
  <c r="CA106" i="30"/>
  <c r="DD106" i="30"/>
  <c r="CF106" i="30"/>
  <c r="DF106" i="30"/>
  <c r="CK106" i="30"/>
  <c r="DH106" i="30"/>
  <c r="BK107" i="30"/>
  <c r="CE107" i="30"/>
  <c r="BP107" i="30"/>
  <c r="BZ107" i="30"/>
  <c r="CJ107" i="30"/>
  <c r="BU107" i="30"/>
  <c r="AM106" i="30"/>
  <c r="DK86" i="30"/>
  <c r="BF107" i="30"/>
  <c r="CL107" i="30"/>
  <c r="CF107" i="30"/>
  <c r="DF107" i="30"/>
  <c r="BG107" i="30"/>
  <c r="CV107" i="30"/>
  <c r="BL107" i="30"/>
  <c r="CX107" i="30"/>
  <c r="BQ107" i="30"/>
  <c r="CZ107" i="30"/>
  <c r="BV107" i="30"/>
  <c r="DB107" i="30"/>
  <c r="CA107" i="30"/>
  <c r="DD107" i="30"/>
  <c r="AR107" i="30"/>
  <c r="CP107" i="30"/>
  <c r="AQ109" i="30"/>
  <c r="BB107" i="30"/>
  <c r="CT107" i="30"/>
  <c r="DL86" i="30"/>
  <c r="DM86" i="30"/>
  <c r="DN86" i="30"/>
  <c r="AK107" i="30"/>
  <c r="CN107" i="30"/>
  <c r="DK57" i="30"/>
  <c r="DM57" i="30"/>
  <c r="DN57" i="30"/>
  <c r="AW107" i="30"/>
  <c r="CR107" i="30"/>
  <c r="DL85" i="30"/>
  <c r="DM85" i="30"/>
  <c r="DN85" i="30"/>
  <c r="I66" i="30"/>
  <c r="J66" i="30"/>
  <c r="R41" i="30"/>
  <c r="S41" i="30"/>
  <c r="T41" i="30"/>
  <c r="P41" i="30"/>
  <c r="V41" i="30"/>
  <c r="AM107" i="30"/>
  <c r="CK107" i="30"/>
  <c r="DH107" i="30"/>
  <c r="K66" i="30"/>
  <c r="CJ108" i="30"/>
  <c r="BK108" i="30"/>
  <c r="CE108" i="30"/>
  <c r="BA108" i="30"/>
  <c r="BZ108" i="30"/>
  <c r="BP108" i="30"/>
  <c r="BF108" i="30"/>
  <c r="BU108" i="30"/>
  <c r="AV108" i="30"/>
  <c r="CL108" i="30"/>
  <c r="BQ108" i="30"/>
  <c r="CZ108" i="30"/>
  <c r="AW108" i="30"/>
  <c r="CR108" i="30"/>
  <c r="BB108" i="30"/>
  <c r="CT108" i="30"/>
  <c r="BG108" i="30"/>
  <c r="CV108" i="30"/>
  <c r="BL108" i="30"/>
  <c r="CX108" i="30"/>
  <c r="BV108" i="30"/>
  <c r="DB108" i="30"/>
  <c r="AR108" i="30"/>
  <c r="CP108" i="30"/>
  <c r="AQ113" i="30"/>
  <c r="AM108" i="30"/>
  <c r="CA108" i="30"/>
  <c r="DD108" i="30"/>
  <c r="CF108" i="30"/>
  <c r="DF108" i="30"/>
  <c r="CK108" i="30"/>
  <c r="DH108" i="30"/>
  <c r="BP109" i="30"/>
  <c r="BU109" i="30"/>
  <c r="BF109" i="30"/>
  <c r="BA109" i="30"/>
  <c r="BZ109" i="30"/>
  <c r="CJ109" i="30"/>
  <c r="BK109" i="30"/>
  <c r="CE109" i="30"/>
  <c r="AK108" i="30"/>
  <c r="CN108" i="30"/>
  <c r="AV109" i="30"/>
  <c r="CL109" i="30"/>
  <c r="CA109" i="30"/>
  <c r="DD109" i="30"/>
  <c r="AR109" i="30"/>
  <c r="CP109" i="30"/>
  <c r="AQ110" i="30"/>
  <c r="AK109" i="30"/>
  <c r="CN109" i="30"/>
  <c r="AV110" i="30"/>
  <c r="AW109" i="30"/>
  <c r="CR109" i="30"/>
  <c r="BB109" i="30"/>
  <c r="CT109" i="30"/>
  <c r="BG109" i="30"/>
  <c r="CV109" i="30"/>
  <c r="BL109" i="30"/>
  <c r="CX109" i="30"/>
  <c r="BQ109" i="30"/>
  <c r="CZ109" i="30"/>
  <c r="CF109" i="30"/>
  <c r="DF109" i="30"/>
  <c r="AM109" i="30"/>
  <c r="CK109" i="30"/>
  <c r="DH109" i="30"/>
  <c r="BV109" i="30"/>
  <c r="DB109" i="30"/>
  <c r="CE110" i="30"/>
  <c r="BF110" i="30"/>
  <c r="BK110" i="30"/>
  <c r="CJ110" i="30"/>
  <c r="BP110" i="30"/>
  <c r="BZ110" i="30"/>
  <c r="BU110" i="30"/>
  <c r="BA110" i="30"/>
  <c r="CL110" i="30"/>
  <c r="BV110" i="30"/>
  <c r="DB110" i="30"/>
  <c r="AR110" i="30"/>
  <c r="CP110" i="30"/>
  <c r="AQ111" i="30"/>
  <c r="BB110" i="30"/>
  <c r="CT110" i="30"/>
  <c r="BG110" i="30"/>
  <c r="CV110" i="30"/>
  <c r="BL110" i="30"/>
  <c r="CX110" i="30"/>
  <c r="BQ110" i="30"/>
  <c r="CZ110" i="30"/>
  <c r="CA110" i="30"/>
  <c r="DD110" i="30"/>
  <c r="CF110" i="30"/>
  <c r="DF110" i="30"/>
  <c r="CK110" i="30"/>
  <c r="DH110" i="30"/>
  <c r="BU111" i="30"/>
  <c r="CJ111" i="30"/>
  <c r="BF111" i="30"/>
  <c r="CE111" i="30"/>
  <c r="BP111" i="30"/>
  <c r="BA111" i="30"/>
  <c r="BK111" i="30"/>
  <c r="BZ111" i="30"/>
  <c r="AM110" i="30"/>
  <c r="AK110" i="30"/>
  <c r="CN110" i="30" s="1"/>
  <c r="AW110" i="30"/>
  <c r="CR110" i="30" s="1"/>
  <c r="AV111" i="30"/>
  <c r="AM111" i="30" s="1"/>
  <c r="CL111" i="30" l="1"/>
  <c r="AV114" i="30"/>
  <c r="CK111" i="30" l="1"/>
  <c r="DH111" i="30" s="1"/>
  <c r="BG111" i="30"/>
  <c r="CV111" i="30" s="1"/>
  <c r="BB111" i="30"/>
  <c r="CT111" i="30" s="1"/>
  <c r="AK111" i="30"/>
  <c r="CN111" i="30" s="1"/>
  <c r="BL111" i="30"/>
  <c r="CX111" i="30" s="1"/>
  <c r="BQ111" i="30"/>
  <c r="CZ111" i="30" s="1"/>
  <c r="CF111" i="30"/>
  <c r="DF111" i="30" s="1"/>
  <c r="AW111" i="30"/>
  <c r="CR111" i="30" s="1"/>
  <c r="AR111" i="30"/>
  <c r="CP111" i="30" s="1"/>
  <c r="BV111" i="30"/>
  <c r="DB111" i="30" s="1"/>
  <c r="CA111" i="30"/>
  <c r="DD111" i="30" s="1"/>
  <c r="AV112" i="30" l="1"/>
  <c r="BK112" i="30"/>
  <c r="BF112" i="30"/>
  <c r="BA112" i="30"/>
  <c r="CJ112" i="30"/>
  <c r="CE112" i="30"/>
  <c r="BU112" i="30"/>
  <c r="BP112" i="30"/>
  <c r="BZ112" i="30"/>
  <c r="AQ112" i="30"/>
  <c r="AM112" i="30" l="1"/>
  <c r="CL112" i="30"/>
  <c r="BB112" i="30" l="1"/>
  <c r="CT112" i="30" s="1"/>
  <c r="AK112" i="30"/>
  <c r="CN112" i="30" s="1"/>
  <c r="AW112" i="30"/>
  <c r="CR112" i="30" s="1"/>
  <c r="CK112" i="30"/>
  <c r="DH112" i="30" s="1"/>
  <c r="BL112" i="30"/>
  <c r="CX112" i="30" s="1"/>
  <c r="BG112" i="30"/>
  <c r="CV112" i="30" s="1"/>
  <c r="AR112" i="30"/>
  <c r="CP112" i="30" s="1"/>
  <c r="CF112" i="30"/>
  <c r="DF112" i="30" s="1"/>
  <c r="BQ112" i="30"/>
  <c r="CZ112" i="30" s="1"/>
  <c r="CA112" i="30"/>
  <c r="DD112" i="30" s="1"/>
  <c r="BV112" i="30"/>
  <c r="DB112" i="30" s="1"/>
  <c r="AQ114" i="30" l="1"/>
  <c r="DK98" i="30"/>
  <c r="BA115" i="30"/>
  <c r="BK113" i="30"/>
  <c r="BP113" i="30"/>
  <c r="CJ113" i="30"/>
  <c r="CE113" i="30"/>
  <c r="BA113" i="30"/>
  <c r="BZ113" i="30"/>
  <c r="BU113" i="30"/>
  <c r="BF113" i="30"/>
  <c r="AV113" i="30"/>
  <c r="AM113" i="30" l="1"/>
  <c r="CL113" i="30"/>
  <c r="AW113" i="30" l="1"/>
  <c r="CR113" i="30" s="1"/>
  <c r="BG113" i="30"/>
  <c r="CV113" i="30" s="1"/>
  <c r="BB113" i="30"/>
  <c r="CT113" i="30" s="1"/>
  <c r="BL113" i="30"/>
  <c r="CX113" i="30" s="1"/>
  <c r="CK113" i="30"/>
  <c r="DH113" i="30" s="1"/>
  <c r="BQ113" i="30"/>
  <c r="CZ113" i="30" s="1"/>
  <c r="CF113" i="30"/>
  <c r="DF113" i="30" s="1"/>
  <c r="AK113" i="30"/>
  <c r="CN113" i="30" s="1"/>
  <c r="CA113" i="30"/>
  <c r="DD113" i="30" s="1"/>
  <c r="AR113" i="30"/>
  <c r="CP113" i="30" s="1"/>
  <c r="BV113" i="30"/>
  <c r="DB113" i="30" s="1"/>
  <c r="AQ129" i="30" l="1"/>
  <c r="BA114" i="30"/>
  <c r="BU114" i="30"/>
  <c r="BF114" i="30"/>
  <c r="BP114" i="30"/>
  <c r="CE114" i="30"/>
  <c r="BK114" i="30"/>
  <c r="CJ114" i="30"/>
  <c r="BZ114" i="30"/>
  <c r="AM114" i="30" l="1"/>
  <c r="CL114" i="30"/>
  <c r="AR114" i="30" l="1"/>
  <c r="CP114" i="30" s="1"/>
  <c r="AK114" i="30"/>
  <c r="CN114" i="30" s="1"/>
  <c r="BV114" i="30"/>
  <c r="DB114" i="30" s="1"/>
  <c r="BL114" i="30"/>
  <c r="CX114" i="30" s="1"/>
  <c r="CA114" i="30"/>
  <c r="DD114" i="30" s="1"/>
  <c r="CK114" i="30"/>
  <c r="DH114" i="30" s="1"/>
  <c r="CF114" i="30"/>
  <c r="DF114" i="30" s="1"/>
  <c r="BB114" i="30"/>
  <c r="CT114" i="30" s="1"/>
  <c r="BG114" i="30"/>
  <c r="CV114" i="30" s="1"/>
  <c r="AW114" i="30"/>
  <c r="CR114" i="30" s="1"/>
  <c r="BQ114" i="30"/>
  <c r="CZ114" i="30" s="1"/>
  <c r="AV115" i="30" l="1"/>
  <c r="BF115" i="30"/>
  <c r="BZ115" i="30"/>
  <c r="CE115" i="30"/>
  <c r="BK115" i="30"/>
  <c r="BU115" i="30"/>
  <c r="CJ115" i="30"/>
  <c r="BP115" i="30"/>
  <c r="AQ115" i="30"/>
  <c r="CL115" i="30" l="1"/>
  <c r="AM115" i="30"/>
  <c r="BL115" i="30" l="1"/>
  <c r="CX115" i="30" s="1"/>
  <c r="AW115" i="30"/>
  <c r="CR115" i="30" s="1"/>
  <c r="CA115" i="30"/>
  <c r="DD115" i="30" s="1"/>
  <c r="BB115" i="30"/>
  <c r="CT115" i="30" s="1"/>
  <c r="DL98" i="30" s="1"/>
  <c r="DM98" i="30" s="1"/>
  <c r="DN98" i="30" s="1"/>
  <c r="AK115" i="30"/>
  <c r="CN115" i="30" s="1"/>
  <c r="BV115" i="30"/>
  <c r="DB115" i="30" s="1"/>
  <c r="BG115" i="30"/>
  <c r="CV115" i="30" s="1"/>
  <c r="BQ115" i="30"/>
  <c r="CZ115" i="30" s="1"/>
  <c r="CK115" i="30"/>
  <c r="DH115" i="30" s="1"/>
  <c r="AR115" i="30"/>
  <c r="CP115" i="30" s="1"/>
  <c r="CF115" i="30"/>
  <c r="DF115" i="30" s="1"/>
  <c r="BZ116" i="30" l="1"/>
  <c r="BK116" i="30"/>
  <c r="CE116" i="30"/>
  <c r="CJ116" i="30"/>
  <c r="BP116" i="30"/>
  <c r="BU116" i="30"/>
  <c r="AV116" i="30"/>
  <c r="BA116" i="30"/>
  <c r="BF116" i="30"/>
  <c r="AQ116" i="30"/>
  <c r="DK24" i="30"/>
  <c r="BA118" i="30"/>
  <c r="CL116" i="30" l="1"/>
  <c r="AM116" i="30"/>
  <c r="AW116" i="30" l="1"/>
  <c r="CR116" i="30" s="1"/>
  <c r="BB116" i="30"/>
  <c r="CT116" i="30" s="1"/>
  <c r="BQ116" i="30"/>
  <c r="CZ116" i="30" s="1"/>
  <c r="AR116" i="30"/>
  <c r="CP116" i="30" s="1"/>
  <c r="BL116" i="30"/>
  <c r="CX116" i="30" s="1"/>
  <c r="CA116" i="30"/>
  <c r="DD116" i="30" s="1"/>
  <c r="CK116" i="30"/>
  <c r="DH116" i="30" s="1"/>
  <c r="AK116" i="30"/>
  <c r="CN116" i="30" s="1"/>
  <c r="AV117" i="30" s="1"/>
  <c r="BV116" i="30"/>
  <c r="DB116" i="30" s="1"/>
  <c r="BG116" i="30"/>
  <c r="CV116" i="30" s="1"/>
  <c r="CF116" i="30"/>
  <c r="DF116" i="30" s="1"/>
  <c r="AQ117" i="30" l="1"/>
  <c r="BK117" i="30"/>
  <c r="CE117" i="30"/>
  <c r="BU117" i="30"/>
  <c r="BA117" i="30"/>
  <c r="BP117" i="30"/>
  <c r="BZ117" i="30"/>
  <c r="CJ117" i="30"/>
  <c r="BF117" i="30"/>
  <c r="CL117" i="30" l="1"/>
  <c r="AM117" i="30"/>
  <c r="AK117" i="30" l="1"/>
  <c r="CN117" i="30" s="1"/>
  <c r="AV118" i="30" s="1"/>
  <c r="AR117" i="30"/>
  <c r="CP117" i="30" s="1"/>
  <c r="CA117" i="30"/>
  <c r="DD117" i="30" s="1"/>
  <c r="BL117" i="30"/>
  <c r="CX117" i="30" s="1"/>
  <c r="AW117" i="30"/>
  <c r="CR117" i="30" s="1"/>
  <c r="BV117" i="30"/>
  <c r="DB117" i="30" s="1"/>
  <c r="CK117" i="30"/>
  <c r="DH117" i="30" s="1"/>
  <c r="BQ117" i="30"/>
  <c r="CZ117" i="30" s="1"/>
  <c r="BG117" i="30"/>
  <c r="CV117" i="30" s="1"/>
  <c r="BB117" i="30"/>
  <c r="CT117" i="30" s="1"/>
  <c r="CF117" i="30"/>
  <c r="DF117" i="30" s="1"/>
  <c r="CJ118" i="30" l="1"/>
  <c r="BP118" i="30"/>
  <c r="BZ118" i="30"/>
  <c r="BU118" i="30"/>
  <c r="BK118" i="30"/>
  <c r="CE118" i="30"/>
  <c r="BF118" i="30"/>
  <c r="AQ118" i="30"/>
  <c r="CL118" i="30" l="1"/>
  <c r="AM118" i="30"/>
  <c r="BL118" i="30" l="1"/>
  <c r="CX118" i="30" s="1"/>
  <c r="AR118" i="30"/>
  <c r="CP118" i="30" s="1"/>
  <c r="CF118" i="30"/>
  <c r="DF118" i="30" s="1"/>
  <c r="BV118" i="30"/>
  <c r="DB118" i="30" s="1"/>
  <c r="BG118" i="30"/>
  <c r="CV118" i="30" s="1"/>
  <c r="CK118" i="30"/>
  <c r="DH118" i="30" s="1"/>
  <c r="BQ118" i="30"/>
  <c r="CZ118" i="30" s="1"/>
  <c r="CA118" i="30"/>
  <c r="DD118" i="30" s="1"/>
  <c r="AW118" i="30"/>
  <c r="CR118" i="30" s="1"/>
  <c r="BB118" i="30"/>
  <c r="CT118" i="30" s="1"/>
  <c r="DL24" i="30" s="1"/>
  <c r="DM24" i="30" s="1"/>
  <c r="DN24" i="30" s="1"/>
  <c r="AK118" i="30"/>
  <c r="CN118" i="30" s="1"/>
  <c r="DK117" i="30" s="1"/>
  <c r="AQ119" i="30" l="1"/>
  <c r="P42" i="30"/>
  <c r="V42" i="30" s="1"/>
  <c r="DM117" i="30"/>
  <c r="BK119" i="30"/>
  <c r="BF119" i="30"/>
  <c r="AV119" i="30"/>
  <c r="BA119" i="30"/>
  <c r="BZ119" i="30"/>
  <c r="CJ119" i="30"/>
  <c r="BU119" i="30"/>
  <c r="CE119" i="30"/>
  <c r="BP119" i="30"/>
  <c r="R42" i="30" l="1"/>
  <c r="I67" i="30"/>
  <c r="J67" i="30" s="1"/>
  <c r="DN117" i="30"/>
  <c r="CL119" i="30"/>
  <c r="AM119" i="30"/>
  <c r="BB119" i="30" l="1"/>
  <c r="CT119" i="30" s="1"/>
  <c r="AW119" i="30"/>
  <c r="CR119" i="30" s="1"/>
  <c r="CF119" i="30"/>
  <c r="DF119" i="30" s="1"/>
  <c r="BG119" i="30"/>
  <c r="CV119" i="30" s="1"/>
  <c r="CK119" i="30"/>
  <c r="DH119" i="30" s="1"/>
  <c r="CA119" i="30"/>
  <c r="DD119" i="30" s="1"/>
  <c r="AR119" i="30"/>
  <c r="CP119" i="30" s="1"/>
  <c r="BL119" i="30"/>
  <c r="CX119" i="30" s="1"/>
  <c r="BV119" i="30"/>
  <c r="DB119" i="30" s="1"/>
  <c r="AK119" i="30"/>
  <c r="CN119" i="30" s="1"/>
  <c r="DK53" i="30" s="1"/>
  <c r="BQ119" i="30"/>
  <c r="CZ119" i="30" s="1"/>
  <c r="K67" i="30"/>
  <c r="S42" i="30"/>
  <c r="T42" i="30"/>
  <c r="DM53" i="30" l="1"/>
  <c r="P43" i="30"/>
  <c r="V43" i="30" s="1"/>
  <c r="BK120" i="30"/>
  <c r="BU120" i="30"/>
  <c r="BP120" i="30"/>
  <c r="CE120" i="30"/>
  <c r="BF120" i="30"/>
  <c r="AV120" i="30"/>
  <c r="BA120" i="30"/>
  <c r="BZ120" i="30"/>
  <c r="CJ120" i="30"/>
  <c r="I68" i="30" l="1"/>
  <c r="J68" i="30" s="1"/>
  <c r="DN53" i="30"/>
  <c r="R43" i="30"/>
  <c r="S43" i="30" l="1"/>
  <c r="T43" i="30"/>
  <c r="K68" i="30"/>
  <c r="AQ120" i="30"/>
  <c r="CL120" i="30"/>
  <c r="AR120" i="30"/>
  <c r="CP120" i="30"/>
  <c r="AQ121" i="30"/>
  <c r="AK120" i="30"/>
  <c r="CN120" i="30"/>
  <c r="AV121" i="30"/>
  <c r="AW120" i="30"/>
  <c r="CR120" i="30"/>
  <c r="BB120" i="30"/>
  <c r="CT120" i="30"/>
  <c r="BG120" i="30"/>
  <c r="CV120" i="30"/>
  <c r="BL120" i="30"/>
  <c r="CX120" i="30"/>
  <c r="BQ120" i="30"/>
  <c r="CZ120" i="30"/>
  <c r="BV120" i="30"/>
  <c r="DB120" i="30"/>
  <c r="CA120" i="30"/>
  <c r="DD120" i="30"/>
  <c r="CF120" i="30"/>
  <c r="DF120" i="30"/>
  <c r="CK120" i="30"/>
  <c r="DH120" i="30"/>
  <c r="BF121" i="30"/>
  <c r="BP121" i="30"/>
  <c r="CE121" i="30"/>
  <c r="CJ121" i="30"/>
  <c r="BK121" i="30"/>
  <c r="BZ121" i="30"/>
  <c r="BU121" i="30"/>
  <c r="AM120" i="30"/>
  <c r="BA121" i="30"/>
  <c r="CL121" i="30"/>
  <c r="AR121" i="30"/>
  <c r="CP121" i="30"/>
  <c r="AQ122" i="30"/>
  <c r="AK121" i="30"/>
  <c r="CN121" i="30"/>
  <c r="AV122" i="30"/>
  <c r="BB121" i="30"/>
  <c r="CT121" i="30"/>
  <c r="BG121" i="30"/>
  <c r="CV121" i="30"/>
  <c r="BL121" i="30"/>
  <c r="CX121" i="30"/>
  <c r="BQ121" i="30"/>
  <c r="CZ121" i="30"/>
  <c r="BV121" i="30"/>
  <c r="DB121" i="30"/>
  <c r="AM121" i="30"/>
  <c r="CK121" i="30"/>
  <c r="DH121" i="30"/>
  <c r="CF121" i="30"/>
  <c r="DF121" i="30"/>
  <c r="CA121" i="30"/>
  <c r="DD121" i="30"/>
  <c r="AW121" i="30"/>
  <c r="CR121" i="30"/>
  <c r="DK74" i="30"/>
  <c r="P45" i="30"/>
  <c r="V45" i="30"/>
  <c r="BP122" i="30"/>
  <c r="BF122" i="30"/>
  <c r="BZ122" i="30"/>
  <c r="BK122" i="30"/>
  <c r="CE122" i="30"/>
  <c r="CJ122" i="30"/>
  <c r="BU122" i="30"/>
  <c r="BA122" i="30"/>
  <c r="CL122" i="30"/>
  <c r="BQ122" i="30"/>
  <c r="CZ122" i="30"/>
  <c r="AR122" i="30"/>
  <c r="CP122" i="30"/>
  <c r="AQ123" i="30"/>
  <c r="BB122" i="30"/>
  <c r="CT122" i="30"/>
  <c r="BG122" i="30"/>
  <c r="CV122" i="30"/>
  <c r="BL122" i="30"/>
  <c r="CX122" i="30"/>
  <c r="BV122" i="30"/>
  <c r="DB122" i="30"/>
  <c r="CA122" i="30"/>
  <c r="DD122" i="30"/>
  <c r="AK122" i="30"/>
  <c r="CN122" i="30"/>
  <c r="DK54" i="30"/>
  <c r="DM54" i="30"/>
  <c r="I69" i="30"/>
  <c r="J69" i="30"/>
  <c r="K69" i="30"/>
  <c r="CF122" i="30"/>
  <c r="DF122" i="30"/>
  <c r="CK122" i="30"/>
  <c r="DH122" i="30"/>
  <c r="BP123" i="30"/>
  <c r="CJ123" i="30"/>
  <c r="BU123" i="30"/>
  <c r="CE123" i="30"/>
  <c r="BZ123" i="30"/>
  <c r="BK123" i="30"/>
  <c r="BF123" i="30"/>
  <c r="BA123" i="30"/>
  <c r="AW122" i="30"/>
  <c r="CR122" i="30"/>
  <c r="DL74" i="30"/>
  <c r="DM74" i="30"/>
  <c r="R45" i="30"/>
  <c r="S45" i="30"/>
  <c r="T45" i="30"/>
  <c r="DN74" i="30"/>
  <c r="R44" i="30"/>
  <c r="S44" i="30"/>
  <c r="T44" i="30"/>
  <c r="DN54" i="30"/>
  <c r="P44" i="30"/>
  <c r="V44" i="30"/>
  <c r="Q45" i="30"/>
  <c r="AM122" i="30"/>
  <c r="AV123" i="30"/>
  <c r="CL123" i="30"/>
  <c r="BV123" i="30"/>
  <c r="DB123" i="30"/>
  <c r="AR123" i="30"/>
  <c r="CP123" i="30"/>
  <c r="AQ124" i="30"/>
  <c r="AK123" i="30"/>
  <c r="CN123" i="30"/>
  <c r="AV124" i="30"/>
  <c r="AW123" i="30"/>
  <c r="CR123" i="30"/>
  <c r="BB123" i="30"/>
  <c r="CT123" i="30"/>
  <c r="BG123" i="30"/>
  <c r="CV123" i="30"/>
  <c r="BL123" i="30"/>
  <c r="CX123" i="30"/>
  <c r="BQ123" i="30"/>
  <c r="CZ123" i="30"/>
  <c r="AM123" i="30"/>
  <c r="CK123" i="30"/>
  <c r="DH123" i="30"/>
  <c r="CF123" i="30"/>
  <c r="DF123" i="30"/>
  <c r="CA123" i="30"/>
  <c r="DD123" i="30"/>
  <c r="CE124" i="30"/>
  <c r="BP124" i="30"/>
  <c r="CJ124" i="30"/>
  <c r="BU124" i="30"/>
  <c r="BK124" i="30"/>
  <c r="BZ124" i="30"/>
  <c r="BF124" i="30"/>
  <c r="BA124" i="30"/>
  <c r="CL124" i="30"/>
  <c r="CA124" i="30"/>
  <c r="DD124" i="30"/>
  <c r="AR124" i="30"/>
  <c r="CP124" i="30"/>
  <c r="AQ125" i="30"/>
  <c r="BB124" i="30"/>
  <c r="CT124" i="30"/>
  <c r="BG124" i="30"/>
  <c r="CV124" i="30"/>
  <c r="BL124" i="30"/>
  <c r="CX124" i="30"/>
  <c r="BQ124" i="30"/>
  <c r="CZ124" i="30"/>
  <c r="BV124" i="30"/>
  <c r="DB124" i="30"/>
  <c r="CF124" i="30"/>
  <c r="DF124" i="30"/>
  <c r="CK124" i="30"/>
  <c r="DH124" i="30"/>
  <c r="BK125" i="30"/>
  <c r="BZ125" i="30"/>
  <c r="BA125" i="30"/>
  <c r="CE125" i="30"/>
  <c r="BF125" i="30"/>
  <c r="BU125" i="30"/>
  <c r="BP125" i="30"/>
  <c r="CJ125" i="30"/>
  <c r="AK124" i="30"/>
  <c r="CN124" i="30"/>
  <c r="AV127" i="30"/>
  <c r="DK96" i="30"/>
  <c r="AM124" i="30"/>
  <c r="AW124" i="30"/>
  <c r="CR124" i="30"/>
  <c r="AV125" i="30"/>
  <c r="CL125" i="30"/>
  <c r="BQ125" i="30"/>
  <c r="CZ125" i="30"/>
  <c r="AR125" i="30"/>
  <c r="CP125" i="30"/>
  <c r="AQ126" i="30"/>
  <c r="AK125" i="30"/>
  <c r="CN125" i="30"/>
  <c r="AV126" i="30"/>
  <c r="AW125" i="30"/>
  <c r="CR125" i="30"/>
  <c r="BB125" i="30"/>
  <c r="CT125" i="30"/>
  <c r="BG125" i="30"/>
  <c r="CV125" i="30"/>
  <c r="BL125" i="30"/>
  <c r="CX125" i="30"/>
  <c r="BV125" i="30"/>
  <c r="DB125" i="30"/>
  <c r="AM125" i="30"/>
  <c r="CF125" i="30"/>
  <c r="DF125" i="30"/>
  <c r="CK125" i="30"/>
  <c r="DH125" i="30"/>
  <c r="CA125" i="30"/>
  <c r="DD125" i="30"/>
  <c r="BZ126" i="30"/>
  <c r="CJ126" i="30"/>
  <c r="BP126" i="30"/>
  <c r="CE126" i="30"/>
  <c r="BF126" i="30"/>
  <c r="BU126" i="30"/>
  <c r="BK126" i="30"/>
  <c r="BA126" i="30"/>
  <c r="CL126" i="30"/>
  <c r="CA126" i="30"/>
  <c r="DD126" i="30"/>
  <c r="AR126" i="30"/>
  <c r="CP126" i="30"/>
  <c r="AQ127" i="30"/>
  <c r="AK126" i="30"/>
  <c r="CN126" i="30"/>
  <c r="BA127" i="30"/>
  <c r="BB126" i="30"/>
  <c r="CT126" i="30"/>
  <c r="BG126" i="30"/>
  <c r="CV126" i="30"/>
  <c r="BL126" i="30"/>
  <c r="CX126" i="30"/>
  <c r="BQ126" i="30"/>
  <c r="CZ126" i="30"/>
  <c r="BV126" i="30"/>
  <c r="DB126" i="30"/>
  <c r="CF126" i="30"/>
  <c r="DF126" i="30"/>
  <c r="CK126" i="30"/>
  <c r="DH126" i="30"/>
  <c r="BK127" i="30"/>
  <c r="CJ127" i="30"/>
  <c r="BZ127" i="30"/>
  <c r="CE127" i="30"/>
  <c r="BU127" i="30"/>
  <c r="BP127" i="30"/>
  <c r="DK51" i="30"/>
  <c r="AW126" i="30"/>
  <c r="CR126" i="30"/>
  <c r="AM126" i="30"/>
  <c r="BF127" i="30"/>
  <c r="CL127" i="30"/>
  <c r="BQ127" i="30"/>
  <c r="CZ127" i="30"/>
  <c r="AR127" i="30"/>
  <c r="CP127" i="30"/>
  <c r="AQ128" i="30"/>
  <c r="AK127" i="30"/>
  <c r="CN127" i="30"/>
  <c r="AV128" i="30"/>
  <c r="BG127" i="30"/>
  <c r="CV127" i="30"/>
  <c r="BL127" i="30"/>
  <c r="CX127" i="30"/>
  <c r="BV127" i="30"/>
  <c r="DB127" i="30"/>
  <c r="CA127" i="30"/>
  <c r="DD127" i="30"/>
  <c r="CF127" i="30"/>
  <c r="DF127" i="30"/>
  <c r="AM127" i="30"/>
  <c r="CK127" i="30"/>
  <c r="DH127" i="30"/>
  <c r="AW127" i="30"/>
  <c r="CR127" i="30"/>
  <c r="DL96" i="30"/>
  <c r="DM96" i="30"/>
  <c r="DN96" i="30"/>
  <c r="DK26" i="30"/>
  <c r="BB127" i="30"/>
  <c r="CT127" i="30"/>
  <c r="DL51" i="30"/>
  <c r="DM51" i="30"/>
  <c r="DN51" i="30"/>
  <c r="BF128" i="30"/>
  <c r="CE128" i="30"/>
  <c r="BK128" i="30"/>
  <c r="BU128" i="30"/>
  <c r="BZ128" i="30"/>
  <c r="BP128" i="30"/>
  <c r="CJ128" i="30"/>
  <c r="BA128" i="30"/>
  <c r="CL128" i="30"/>
  <c r="BV128" i="30"/>
  <c r="DB128" i="30"/>
  <c r="BB128" i="30"/>
  <c r="CT128" i="30"/>
  <c r="BG128" i="30"/>
  <c r="CV128" i="30"/>
  <c r="BL128" i="30"/>
  <c r="CX128" i="30"/>
  <c r="BQ128" i="30"/>
  <c r="CZ128" i="30"/>
  <c r="CA128" i="30"/>
  <c r="DD128" i="30"/>
  <c r="AR128" i="30"/>
  <c r="CP128" i="30"/>
  <c r="AQ130" i="30"/>
  <c r="AK128" i="30"/>
  <c r="CN128" i="30"/>
  <c r="DK112" i="30"/>
  <c r="DM112" i="30"/>
  <c r="I70" i="30"/>
  <c r="J70" i="30"/>
  <c r="K70" i="30"/>
  <c r="H16" i="30"/>
  <c r="D16" i="30"/>
  <c r="F16" i="30"/>
  <c r="CF128" i="30"/>
  <c r="DF128" i="30"/>
  <c r="CK128" i="30"/>
  <c r="DH128" i="30"/>
  <c r="BK129" i="30"/>
  <c r="BF129" i="30"/>
  <c r="CE129" i="30"/>
  <c r="BA129" i="30"/>
  <c r="BU129" i="30"/>
  <c r="CJ129" i="30"/>
  <c r="BP129" i="30"/>
  <c r="BZ129" i="30"/>
  <c r="R46" i="30"/>
  <c r="S46" i="30"/>
  <c r="T46" i="30"/>
  <c r="DN112" i="30"/>
  <c r="AW128" i="30"/>
  <c r="CR128" i="30"/>
  <c r="DL26" i="30"/>
  <c r="DM26" i="30"/>
  <c r="DN26" i="30"/>
  <c r="P46" i="30"/>
  <c r="V46" i="30"/>
  <c r="AM128" i="30"/>
  <c r="AV129" i="30"/>
  <c r="CL129" i="30"/>
  <c r="CF129" i="30"/>
  <c r="DF129" i="30"/>
  <c r="AW129" i="30"/>
  <c r="CR129" i="30"/>
  <c r="BB129" i="30"/>
  <c r="CT129" i="30"/>
  <c r="BG129" i="30"/>
  <c r="CV129" i="30"/>
  <c r="BL129" i="30"/>
  <c r="CX129" i="30"/>
  <c r="BQ129" i="30"/>
  <c r="CZ129" i="30"/>
  <c r="AR129" i="30"/>
  <c r="CP129" i="30"/>
  <c r="AQ135" i="30"/>
  <c r="AM129" i="30"/>
  <c r="CK129" i="30"/>
  <c r="DH129" i="30"/>
  <c r="AK129" i="30"/>
  <c r="CN129" i="30"/>
  <c r="BV129" i="30"/>
  <c r="DB129" i="30"/>
  <c r="CA129" i="30"/>
  <c r="DD129" i="30"/>
  <c r="BZ130" i="30"/>
  <c r="CE130" i="30"/>
  <c r="BA130" i="30"/>
  <c r="BK130" i="30"/>
  <c r="BP130" i="30"/>
  <c r="BF130" i="30"/>
  <c r="CJ130" i="30"/>
  <c r="BU130" i="30"/>
  <c r="AV130" i="30"/>
  <c r="CL130" i="30"/>
  <c r="CA130" i="30"/>
  <c r="DD130" i="30"/>
  <c r="AR130" i="30"/>
  <c r="CP130" i="30"/>
  <c r="AQ131" i="30"/>
  <c r="AK130" i="30"/>
  <c r="CN130" i="30"/>
  <c r="AV131" i="30"/>
  <c r="AW130" i="30"/>
  <c r="CR130" i="30"/>
  <c r="BB130" i="30"/>
  <c r="CT130" i="30"/>
  <c r="BG130" i="30"/>
  <c r="CV130" i="30"/>
  <c r="BL130" i="30"/>
  <c r="CX130" i="30"/>
  <c r="BQ130" i="30"/>
  <c r="CZ130" i="30"/>
  <c r="BV130" i="30"/>
  <c r="DB130" i="30"/>
  <c r="CF130" i="30"/>
  <c r="DF130" i="30"/>
  <c r="CK130" i="30"/>
  <c r="DH130" i="30"/>
  <c r="BP131" i="30"/>
  <c r="CE131" i="30"/>
  <c r="CJ131" i="30"/>
  <c r="BZ131" i="30"/>
  <c r="BF131" i="30"/>
  <c r="BU131" i="30"/>
  <c r="BK131" i="30"/>
  <c r="AM130" i="30"/>
  <c r="BA131" i="30"/>
  <c r="CL131" i="30"/>
  <c r="CF131" i="30"/>
  <c r="DF131" i="30"/>
  <c r="AR131" i="30"/>
  <c r="CP131" i="30"/>
  <c r="AQ132" i="30"/>
  <c r="BB131" i="30"/>
  <c r="CT131" i="30"/>
  <c r="BG131" i="30"/>
  <c r="CV131" i="30"/>
  <c r="BL131" i="30"/>
  <c r="CX131" i="30"/>
  <c r="BQ131" i="30"/>
  <c r="CZ131" i="30"/>
  <c r="BV131" i="30"/>
  <c r="DB131" i="30"/>
  <c r="AW131" i="30"/>
  <c r="CR131" i="30"/>
  <c r="AM131" i="30"/>
  <c r="CK131" i="30"/>
  <c r="DH131" i="30"/>
  <c r="AK131" i="30"/>
  <c r="CN131" i="30"/>
  <c r="AV133" i="30"/>
  <c r="CA131" i="30"/>
  <c r="DD131" i="30"/>
  <c r="BZ132" i="30"/>
  <c r="BF132" i="30"/>
  <c r="CJ132" i="30"/>
  <c r="BA132" i="30"/>
  <c r="BU132" i="30"/>
  <c r="BK132" i="30"/>
  <c r="BP132" i="30"/>
  <c r="CE132" i="30"/>
  <c r="AV132" i="30"/>
  <c r="CL132" i="30"/>
  <c r="BQ132" i="30"/>
  <c r="CZ132" i="30"/>
  <c r="AR132" i="30"/>
  <c r="CP132" i="30"/>
  <c r="AQ133" i="30"/>
  <c r="AK132" i="30"/>
  <c r="CN132" i="30"/>
  <c r="BA133" i="30"/>
  <c r="AW132" i="30"/>
  <c r="CR132" i="30"/>
  <c r="BB132" i="30"/>
  <c r="CT132" i="30"/>
  <c r="BG132" i="30"/>
  <c r="CV132" i="30"/>
  <c r="BL132" i="30"/>
  <c r="CX132" i="30"/>
  <c r="BV132" i="30"/>
  <c r="DB132" i="30"/>
  <c r="CA132" i="30"/>
  <c r="DD132" i="30"/>
  <c r="CF132" i="30"/>
  <c r="DF132" i="30"/>
  <c r="CK132" i="30"/>
  <c r="DH132" i="30"/>
  <c r="BZ133" i="30"/>
  <c r="CJ133" i="30"/>
  <c r="BK133" i="30"/>
  <c r="BP133" i="30"/>
  <c r="CE133" i="30"/>
  <c r="BU133" i="30"/>
  <c r="DK102" i="30"/>
  <c r="AM132" i="30"/>
  <c r="BF133" i="30"/>
  <c r="CL133" i="30"/>
  <c r="CF133" i="30"/>
  <c r="DF133" i="30"/>
  <c r="AR133" i="30"/>
  <c r="CP133" i="30"/>
  <c r="AQ134" i="30"/>
  <c r="BG133" i="30"/>
  <c r="CV133" i="30"/>
  <c r="BL133" i="30"/>
  <c r="CX133" i="30"/>
  <c r="BQ133" i="30"/>
  <c r="CZ133" i="30"/>
  <c r="BV133" i="30"/>
  <c r="DB133" i="30"/>
  <c r="CA133" i="30"/>
  <c r="DD133" i="30"/>
  <c r="AM133" i="30"/>
  <c r="CK133" i="30"/>
  <c r="DH133" i="30"/>
  <c r="AK133" i="30"/>
  <c r="CN133" i="30"/>
  <c r="DK71" i="30"/>
  <c r="AV140" i="30"/>
  <c r="BB133" i="30"/>
  <c r="CT133" i="30"/>
  <c r="DL102" i="30"/>
  <c r="DM102" i="30"/>
  <c r="DN102" i="30"/>
  <c r="AW133" i="30"/>
  <c r="CR133" i="30"/>
  <c r="AV138" i="30"/>
  <c r="BZ134" i="30"/>
  <c r="BP134" i="30"/>
  <c r="BU134" i="30"/>
  <c r="CE134" i="30"/>
  <c r="CJ134" i="30"/>
  <c r="BK134" i="30"/>
  <c r="BF134" i="30"/>
  <c r="BA134" i="30"/>
  <c r="AV134" i="30"/>
  <c r="CL134" i="30"/>
  <c r="BV134" i="30"/>
  <c r="DB134" i="30"/>
  <c r="AW134" i="30"/>
  <c r="CR134" i="30"/>
  <c r="BB134" i="30"/>
  <c r="CT134" i="30"/>
  <c r="BG134" i="30"/>
  <c r="CV134" i="30"/>
  <c r="BL134" i="30"/>
  <c r="CX134" i="30"/>
  <c r="BQ134" i="30"/>
  <c r="CZ134" i="30"/>
  <c r="AR134" i="30"/>
  <c r="CP134" i="30"/>
  <c r="AQ136" i="30"/>
  <c r="CA134" i="30"/>
  <c r="DD134" i="30"/>
  <c r="CF134" i="30"/>
  <c r="DF134" i="30"/>
  <c r="CK134" i="30"/>
  <c r="DH134" i="30"/>
  <c r="BU135" i="30"/>
  <c r="BK135" i="30"/>
  <c r="BA135" i="30"/>
  <c r="BZ135" i="30"/>
  <c r="BF135" i="30"/>
  <c r="CE135" i="30"/>
  <c r="CJ135" i="30"/>
  <c r="BP135" i="30"/>
  <c r="AK134" i="30"/>
  <c r="CN134" i="30"/>
  <c r="BA136" i="30"/>
  <c r="AM134" i="30"/>
  <c r="AV135" i="30"/>
  <c r="CL135" i="30"/>
  <c r="CA135" i="30"/>
  <c r="DD135" i="30"/>
  <c r="AK135" i="30"/>
  <c r="CN135" i="30"/>
  <c r="AV136" i="30"/>
  <c r="AW135" i="30"/>
  <c r="CR135" i="30"/>
  <c r="BB135" i="30"/>
  <c r="CT135" i="30"/>
  <c r="BG135" i="30"/>
  <c r="CV135" i="30"/>
  <c r="BL135" i="30"/>
  <c r="CX135" i="30"/>
  <c r="BQ135" i="30"/>
  <c r="CZ135" i="30"/>
  <c r="AR135" i="30"/>
  <c r="CP135" i="30"/>
  <c r="AQ137" i="30"/>
  <c r="CF135" i="30"/>
  <c r="DF135" i="30"/>
  <c r="AM135" i="30"/>
  <c r="CK135" i="30"/>
  <c r="DH135" i="30"/>
  <c r="DK46" i="30"/>
  <c r="BV135" i="30"/>
  <c r="DB135" i="30"/>
  <c r="BZ136" i="30"/>
  <c r="BP136" i="30"/>
  <c r="CE136" i="30"/>
  <c r="BK136" i="30"/>
  <c r="CJ136" i="30"/>
  <c r="BU136" i="30"/>
  <c r="BF136" i="30"/>
  <c r="CL136" i="30"/>
  <c r="BV136" i="30"/>
  <c r="DB136" i="30"/>
  <c r="BG136" i="30"/>
  <c r="CV136" i="30"/>
  <c r="BL136" i="30"/>
  <c r="CX136" i="30"/>
  <c r="BQ136" i="30"/>
  <c r="CZ136" i="30"/>
  <c r="CA136" i="30"/>
  <c r="DD136" i="30"/>
  <c r="CF136" i="30"/>
  <c r="DF136" i="30"/>
  <c r="AR136" i="30"/>
  <c r="CP136" i="30"/>
  <c r="AQ138" i="30"/>
  <c r="CK136" i="30"/>
  <c r="DH136" i="30"/>
  <c r="BP137" i="30"/>
  <c r="BK137" i="30"/>
  <c r="BZ137" i="30"/>
  <c r="BA137" i="30"/>
  <c r="CJ137" i="30"/>
  <c r="BU137" i="30"/>
  <c r="CE137" i="30"/>
  <c r="BF137" i="30"/>
  <c r="AW136" i="30"/>
  <c r="CR136" i="30"/>
  <c r="DL46" i="30"/>
  <c r="DM46" i="30"/>
  <c r="DN46" i="30"/>
  <c r="AK136" i="30"/>
  <c r="CN136" i="30"/>
  <c r="BA139" i="30"/>
  <c r="DK45" i="30"/>
  <c r="BB136" i="30"/>
  <c r="CT136" i="30"/>
  <c r="AM136" i="30"/>
  <c r="AV137" i="30"/>
  <c r="CL137" i="30"/>
  <c r="BQ137" i="30"/>
  <c r="CZ137" i="30"/>
  <c r="AK137" i="30"/>
  <c r="CN137" i="30"/>
  <c r="BA138" i="30"/>
  <c r="AW137" i="30"/>
  <c r="CR137" i="30"/>
  <c r="BB137" i="30"/>
  <c r="CT137" i="30"/>
  <c r="BG137" i="30"/>
  <c r="CV137" i="30"/>
  <c r="BL137" i="30"/>
  <c r="CX137" i="30"/>
  <c r="BV137" i="30"/>
  <c r="DB137" i="30"/>
  <c r="AR137" i="30"/>
  <c r="CP137" i="30"/>
  <c r="AQ141" i="30"/>
  <c r="CA137" i="30"/>
  <c r="DD137" i="30"/>
  <c r="AM137" i="30"/>
  <c r="CK137" i="30"/>
  <c r="DH137" i="30"/>
  <c r="CF137" i="30"/>
  <c r="DF137" i="30"/>
  <c r="BU138" i="30"/>
  <c r="CJ138" i="30"/>
  <c r="CE138" i="30"/>
  <c r="BK138" i="30"/>
  <c r="BZ138" i="30"/>
  <c r="BP138" i="30"/>
  <c r="BF138" i="30"/>
  <c r="CL138" i="30"/>
  <c r="CF138" i="30"/>
  <c r="DF138" i="30"/>
  <c r="AR138" i="30"/>
  <c r="CP138" i="30"/>
  <c r="AQ139" i="30"/>
  <c r="AK138" i="30"/>
  <c r="CN138" i="30"/>
  <c r="AV139" i="30"/>
  <c r="BG138" i="30"/>
  <c r="CV138" i="30"/>
  <c r="BL138" i="30"/>
  <c r="CX138" i="30"/>
  <c r="BQ138" i="30"/>
  <c r="CZ138" i="30"/>
  <c r="BV138" i="30"/>
  <c r="DB138" i="30"/>
  <c r="CA138" i="30"/>
  <c r="DD138" i="30"/>
  <c r="CK138" i="30"/>
  <c r="DH138" i="30"/>
  <c r="BP139" i="30"/>
  <c r="BK139" i="30"/>
  <c r="BU139" i="30"/>
  <c r="CE139" i="30"/>
  <c r="BZ139" i="30"/>
  <c r="CJ139" i="30"/>
  <c r="AW138" i="30"/>
  <c r="CR138" i="30"/>
  <c r="BB138" i="30"/>
  <c r="CT138" i="30"/>
  <c r="AM138" i="30"/>
  <c r="BF139" i="30"/>
  <c r="CL139" i="30"/>
  <c r="BV139" i="30"/>
  <c r="DB139" i="30"/>
  <c r="AR139" i="30"/>
  <c r="CP139" i="30"/>
  <c r="AQ140" i="30"/>
  <c r="AK139" i="30"/>
  <c r="CN139" i="30"/>
  <c r="BA140" i="30"/>
  <c r="BG139" i="30"/>
  <c r="CV139" i="30"/>
  <c r="BL139" i="30"/>
  <c r="CX139" i="30"/>
  <c r="BQ139" i="30"/>
  <c r="CZ139" i="30"/>
  <c r="CA139" i="30"/>
  <c r="DD139" i="30"/>
  <c r="CF139" i="30"/>
  <c r="DF139" i="30"/>
  <c r="AM139" i="30"/>
  <c r="CK139" i="30"/>
  <c r="DH139" i="30"/>
  <c r="BB139" i="30"/>
  <c r="CT139" i="30"/>
  <c r="DL45" i="30"/>
  <c r="DM45" i="30"/>
  <c r="DN45" i="30"/>
  <c r="DK93" i="30"/>
  <c r="AW139" i="30"/>
  <c r="CR139" i="30"/>
  <c r="BK140" i="30"/>
  <c r="BU140" i="30"/>
  <c r="BZ140" i="30"/>
  <c r="CJ140" i="30"/>
  <c r="CE140" i="30"/>
  <c r="BP140" i="30"/>
  <c r="BF140" i="30"/>
  <c r="CL140" i="30"/>
  <c r="CA140" i="30"/>
  <c r="DD140" i="30"/>
  <c r="BG140" i="30"/>
  <c r="CV140" i="30"/>
  <c r="BL140" i="30"/>
  <c r="CX140" i="30"/>
  <c r="BQ140" i="30"/>
  <c r="CZ140" i="30"/>
  <c r="BV140" i="30"/>
  <c r="DB140" i="30"/>
  <c r="CF140" i="30"/>
  <c r="DF140" i="30"/>
  <c r="AR140" i="30"/>
  <c r="CP140" i="30"/>
  <c r="AQ142" i="30"/>
  <c r="CK140" i="30"/>
  <c r="DH140" i="30"/>
  <c r="BK141" i="30"/>
  <c r="BP141" i="30"/>
  <c r="CE141" i="30"/>
  <c r="BU141" i="30"/>
  <c r="BA141" i="30"/>
  <c r="BF141" i="30"/>
  <c r="CJ141" i="30"/>
  <c r="BZ141" i="30"/>
  <c r="AK140" i="30"/>
  <c r="CN140" i="30"/>
  <c r="DK58" i="30"/>
  <c r="DM58" i="30"/>
  <c r="R47" i="30"/>
  <c r="T47" i="30"/>
  <c r="S47" i="30"/>
  <c r="DN58" i="30"/>
  <c r="AW140" i="30"/>
  <c r="CR140" i="30"/>
  <c r="DL71" i="30"/>
  <c r="DM71" i="30"/>
  <c r="DN71" i="30"/>
  <c r="BB140" i="30"/>
  <c r="CT140" i="30"/>
  <c r="DL93" i="30"/>
  <c r="DM93" i="30"/>
  <c r="DN93" i="30"/>
  <c r="P47" i="30"/>
  <c r="V47" i="30"/>
  <c r="AM140" i="30"/>
  <c r="AV141" i="30"/>
  <c r="CL141" i="30"/>
  <c r="BV141" i="30"/>
  <c r="DB141" i="30"/>
  <c r="AW141" i="30"/>
  <c r="CR141" i="30"/>
  <c r="BB141" i="30"/>
  <c r="CT141" i="30"/>
  <c r="BG141" i="30"/>
  <c r="CV141" i="30"/>
  <c r="BL141" i="30"/>
  <c r="CX141" i="30"/>
  <c r="BQ141" i="30"/>
  <c r="CZ141" i="30"/>
  <c r="AR141" i="30"/>
  <c r="CP141" i="30"/>
  <c r="AQ144" i="30"/>
  <c r="AM141" i="30"/>
  <c r="CK141" i="30"/>
  <c r="DH141" i="30"/>
  <c r="AK141" i="30"/>
  <c r="CN141" i="30"/>
  <c r="CA141" i="30"/>
  <c r="DD141" i="30"/>
  <c r="CF141" i="30"/>
  <c r="DF141" i="30"/>
  <c r="BF142" i="30"/>
  <c r="BZ142" i="30"/>
  <c r="BU142" i="30"/>
  <c r="CE142" i="30"/>
  <c r="BA142" i="30"/>
  <c r="BK142" i="30"/>
  <c r="CJ142" i="30"/>
  <c r="BP142" i="30"/>
  <c r="AV142" i="30"/>
  <c r="CL142" i="30"/>
  <c r="CF142" i="30"/>
  <c r="DF142" i="30"/>
  <c r="AR142" i="30"/>
  <c r="CP142" i="30"/>
  <c r="AQ143" i="30"/>
  <c r="AK142" i="30"/>
  <c r="CN142" i="30"/>
  <c r="AV143" i="30"/>
  <c r="AW142" i="30"/>
  <c r="CR142" i="30"/>
  <c r="BB142" i="30"/>
  <c r="CT142" i="30"/>
  <c r="BG142" i="30"/>
  <c r="CV142" i="30"/>
  <c r="BL142" i="30"/>
  <c r="CX142" i="30"/>
  <c r="BQ142" i="30"/>
  <c r="CZ142" i="30"/>
  <c r="CA142" i="30"/>
  <c r="DD142" i="30"/>
  <c r="BV142" i="30"/>
  <c r="DB142" i="30"/>
  <c r="CK142" i="30"/>
  <c r="DH142" i="30"/>
  <c r="BZ143" i="30"/>
  <c r="CE143" i="30"/>
  <c r="BF143" i="30"/>
  <c r="BU143" i="30"/>
  <c r="BP143" i="30"/>
  <c r="CJ143" i="30"/>
  <c r="BK143" i="30"/>
  <c r="DK118" i="30"/>
  <c r="AM142" i="30"/>
  <c r="BA143" i="30"/>
  <c r="CL143" i="30"/>
  <c r="BV143" i="30"/>
  <c r="DB143" i="30"/>
  <c r="BB143" i="30"/>
  <c r="CT143" i="30"/>
  <c r="BG143" i="30"/>
  <c r="CV143" i="30"/>
  <c r="BL143" i="30"/>
  <c r="CX143" i="30"/>
  <c r="BQ143" i="30"/>
  <c r="CZ143" i="30"/>
  <c r="CA143" i="30"/>
  <c r="DD143" i="30"/>
  <c r="AR143" i="30"/>
  <c r="CP143" i="30"/>
  <c r="AQ145" i="30"/>
  <c r="AK143" i="30"/>
  <c r="CN143" i="30"/>
  <c r="AV145" i="30"/>
  <c r="AM143" i="30"/>
  <c r="CK143" i="30"/>
  <c r="DH143" i="30"/>
  <c r="AW143" i="30"/>
  <c r="CR143" i="30"/>
  <c r="DL118" i="30"/>
  <c r="DM118" i="30"/>
  <c r="DN118" i="30"/>
  <c r="DK41" i="30"/>
  <c r="CF143" i="30"/>
  <c r="DF143" i="30"/>
  <c r="CJ144" i="30"/>
  <c r="BU144" i="30"/>
  <c r="BZ144" i="30"/>
  <c r="CE144" i="30"/>
  <c r="BA144" i="30"/>
  <c r="BK144" i="30"/>
  <c r="BP144" i="30"/>
  <c r="BF144" i="30"/>
  <c r="AV144" i="30"/>
  <c r="CL144" i="30"/>
  <c r="BQ144" i="30"/>
  <c r="CZ144" i="30"/>
  <c r="AK144" i="30"/>
  <c r="CN144" i="30"/>
  <c r="BA145" i="30"/>
  <c r="AW144" i="30"/>
  <c r="CR144" i="30"/>
  <c r="BB144" i="30"/>
  <c r="CT144" i="30"/>
  <c r="BG144" i="30"/>
  <c r="CV144" i="30"/>
  <c r="BL144" i="30"/>
  <c r="CX144" i="30"/>
  <c r="BV144" i="30"/>
  <c r="DB144" i="30"/>
  <c r="CF144" i="30"/>
  <c r="DF144" i="30"/>
  <c r="CA144" i="30"/>
  <c r="DD144" i="30"/>
  <c r="CK144" i="30"/>
  <c r="DH144" i="30"/>
  <c r="BU145" i="30"/>
  <c r="BP145" i="30"/>
  <c r="CE145" i="30"/>
  <c r="BK145" i="30"/>
  <c r="CJ145" i="30"/>
  <c r="BZ145" i="30"/>
  <c r="AM144" i="30"/>
  <c r="DK78" i="30"/>
  <c r="AR144" i="30"/>
  <c r="CP144" i="30"/>
  <c r="DL95" i="30"/>
  <c r="DM95" i="30"/>
  <c r="DN95" i="30"/>
  <c r="BF145" i="30"/>
  <c r="CL145" i="30"/>
  <c r="CA145" i="30"/>
  <c r="DD145" i="30"/>
  <c r="AR145" i="30"/>
  <c r="CP145" i="30"/>
  <c r="AQ146" i="30"/>
  <c r="AW145" i="30"/>
  <c r="CR145" i="30"/>
  <c r="AV146" i="30"/>
  <c r="BG145" i="30"/>
  <c r="CV145" i="30"/>
  <c r="BL145" i="30"/>
  <c r="CX145" i="30"/>
  <c r="BQ145" i="30"/>
  <c r="CZ145" i="30"/>
  <c r="BV145" i="30"/>
  <c r="DB145" i="30"/>
  <c r="CF145" i="30"/>
  <c r="DF145" i="30"/>
  <c r="AM145" i="30"/>
  <c r="CK145" i="30"/>
  <c r="DH145" i="30"/>
  <c r="BB145" i="30"/>
  <c r="CT145" i="30"/>
  <c r="DL78" i="30"/>
  <c r="DM78" i="30"/>
  <c r="DN78" i="30"/>
  <c r="AK145" i="30"/>
  <c r="CN145" i="30"/>
  <c r="AV147" i="30"/>
  <c r="DK77" i="30"/>
  <c r="BF146" i="30"/>
  <c r="BU146" i="30"/>
  <c r="BK146" i="30"/>
  <c r="BZ146" i="30"/>
  <c r="CE146" i="30"/>
  <c r="BP146" i="30"/>
  <c r="CJ146" i="30"/>
  <c r="BA146" i="30"/>
  <c r="CL146" i="30"/>
  <c r="BV146" i="30"/>
  <c r="DB146" i="30"/>
  <c r="AR146" i="30"/>
  <c r="CP146" i="30"/>
  <c r="AQ147" i="30"/>
  <c r="AK146" i="30"/>
  <c r="CN146" i="30"/>
  <c r="BA147" i="30"/>
  <c r="BB146" i="30"/>
  <c r="CT146" i="30"/>
  <c r="BG146" i="30"/>
  <c r="CV146" i="30"/>
  <c r="BL146" i="30"/>
  <c r="CX146" i="30"/>
  <c r="BQ146" i="30"/>
  <c r="CZ146" i="30"/>
  <c r="CA146" i="30"/>
  <c r="DD146" i="30"/>
  <c r="CF146" i="30"/>
  <c r="DF146" i="30"/>
  <c r="CK146" i="30"/>
  <c r="DH146" i="30"/>
  <c r="BK147" i="30"/>
  <c r="BZ147" i="30"/>
  <c r="CE147" i="30"/>
  <c r="BU147" i="30"/>
  <c r="BP147" i="30"/>
  <c r="CJ147" i="30"/>
  <c r="AW146" i="30"/>
  <c r="CR146" i="30"/>
  <c r="DL41" i="30"/>
  <c r="DM41" i="30"/>
  <c r="DN41" i="30"/>
  <c r="DK43" i="30"/>
  <c r="AM146" i="30"/>
  <c r="BF147" i="30"/>
  <c r="CL147" i="30"/>
  <c r="CF147" i="30"/>
  <c r="DF147" i="30"/>
  <c r="AM147" i="30"/>
  <c r="AR147" i="30"/>
  <c r="CP147" i="30"/>
  <c r="DL81" i="30"/>
  <c r="Q21" i="30"/>
  <c r="CK147" i="30"/>
  <c r="DH147" i="30"/>
  <c r="BL147" i="30"/>
  <c r="CX147" i="30"/>
  <c r="DM81" i="30"/>
  <c r="DN81" i="30"/>
  <c r="AK147" i="30"/>
  <c r="CN147" i="30"/>
  <c r="DK108" i="30"/>
  <c r="P48" i="30"/>
  <c r="V48" i="30"/>
  <c r="BB147" i="30"/>
  <c r="CT147" i="30"/>
  <c r="DL43" i="30"/>
  <c r="DM43" i="30"/>
  <c r="DN43" i="30"/>
  <c r="R21" i="30"/>
  <c r="S21" i="30"/>
  <c r="T21" i="30"/>
  <c r="DM108" i="30"/>
  <c r="DN108" i="30"/>
  <c r="R48" i="30"/>
  <c r="S48" i="30"/>
  <c r="T48" i="30"/>
  <c r="AW147" i="30"/>
  <c r="CR147" i="30"/>
  <c r="DL77" i="30"/>
  <c r="DM77" i="30"/>
  <c r="DN77" i="30"/>
  <c r="BG147" i="30"/>
  <c r="CV147" i="30"/>
  <c r="BQ147" i="30"/>
  <c r="CZ147" i="30"/>
  <c r="BV147" i="30"/>
  <c r="DB147" i="30"/>
  <c r="CA147" i="30"/>
  <c r="DD147" i="30"/>
  <c r="DL21" i="30"/>
  <c r="DM21" i="30"/>
  <c r="DN21" i="3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<sst xmlns="http://schemas.openxmlformats.org/spreadsheetml/2006/main" count="3531" uniqueCount="980">
  <si>
    <t>Paragon Pioneers Production Predictor</t>
  </si>
  <si>
    <t>Production Data</t>
  </si>
  <si>
    <t>Battle Calculator</t>
  </si>
  <si>
    <t>Faction</t>
  </si>
  <si>
    <t>Unit</t>
  </si>
  <si>
    <t>Health</t>
  </si>
  <si>
    <t>Attack</t>
  </si>
  <si>
    <t>Double</t>
  </si>
  <si>
    <t>Paragons</t>
  </si>
  <si>
    <t>Militia</t>
  </si>
  <si>
    <t>Archer</t>
  </si>
  <si>
    <t>Special</t>
  </si>
  <si>
    <t>Reach</t>
  </si>
  <si>
    <t>Cavalry</t>
  </si>
  <si>
    <t>Damage Order</t>
  </si>
  <si>
    <t>Longbow Archer</t>
  </si>
  <si>
    <t>Knight</t>
  </si>
  <si>
    <t>Cuirassier</t>
  </si>
  <si>
    <t>Crossbowman</t>
  </si>
  <si>
    <t>Cannoneer</t>
  </si>
  <si>
    <t>Flanking, First Strike</t>
  </si>
  <si>
    <t>Reach, Double Strike</t>
  </si>
  <si>
    <t>First Strike</t>
  </si>
  <si>
    <t>Reach, Trample, Flanking, Last Strike</t>
  </si>
  <si>
    <t>Orcs</t>
  </si>
  <si>
    <t>Paragon Quantity</t>
  </si>
  <si>
    <t>Paragon Unit</t>
  </si>
  <si>
    <t>Paragon Health</t>
  </si>
  <si>
    <t>Expected Attack</t>
  </si>
  <si>
    <t>Total Paragon Health</t>
  </si>
  <si>
    <t>Orc Quantity</t>
  </si>
  <si>
    <t>Orc Unit</t>
  </si>
  <si>
    <t>Orc Health</t>
  </si>
  <si>
    <t>Total Orc Health</t>
  </si>
  <si>
    <t>Battle Comparison</t>
  </si>
  <si>
    <t>vs benchmarks</t>
  </si>
  <si>
    <t>Unit Data</t>
  </si>
  <si>
    <t>Building</t>
  </si>
  <si>
    <t>Resource Produced</t>
  </si>
  <si>
    <t>Input 1</t>
  </si>
  <si>
    <t>Input 2</t>
  </si>
  <si>
    <t>Input 1 Quantity</t>
  </si>
  <si>
    <t>Input 2 Quantity</t>
  </si>
  <si>
    <t>Input 3</t>
  </si>
  <si>
    <t>Input 3 Quantity</t>
  </si>
  <si>
    <t>Input 4</t>
  </si>
  <si>
    <t>Input 4 Quantity</t>
  </si>
  <si>
    <t>Time to produce 1 unit (minutes)</t>
  </si>
  <si>
    <t>Production in 1h</t>
  </si>
  <si>
    <t>Wood</t>
  </si>
  <si>
    <t>Lumberjack</t>
  </si>
  <si>
    <t>Land tile</t>
  </si>
  <si>
    <t>Water tile</t>
  </si>
  <si>
    <t>Mountain tile</t>
  </si>
  <si>
    <t>Notes</t>
  </si>
  <si>
    <t>Pioneer's Hut</t>
  </si>
  <si>
    <t>Colonist's House</t>
  </si>
  <si>
    <t>Townsmen's House</t>
  </si>
  <si>
    <t>Merchant's Mansion</t>
  </si>
  <si>
    <t>Paragon's Residence</t>
  </si>
  <si>
    <t>Favor</t>
  </si>
  <si>
    <t>Gold</t>
  </si>
  <si>
    <t>Fisherman's Hut</t>
  </si>
  <si>
    <t>Fish</t>
  </si>
  <si>
    <t>Sawmill</t>
  </si>
  <si>
    <t>Potato Field</t>
  </si>
  <si>
    <t>Schnapps</t>
  </si>
  <si>
    <t>Potato Farm</t>
  </si>
  <si>
    <t>Linseed Field</t>
  </si>
  <si>
    <t>Linseed</t>
  </si>
  <si>
    <t>Linseed Farm</t>
  </si>
  <si>
    <t>Linen Weaver</t>
  </si>
  <si>
    <t>Linen</t>
  </si>
  <si>
    <t>Bowyer</t>
  </si>
  <si>
    <t>Bow</t>
  </si>
  <si>
    <t>Archery Range</t>
  </si>
  <si>
    <t>Ropery</t>
  </si>
  <si>
    <t>Cog</t>
  </si>
  <si>
    <t>Caravel</t>
  </si>
  <si>
    <t>Hulk</t>
  </si>
  <si>
    <t>Pinnace</t>
  </si>
  <si>
    <t>Galleon</t>
  </si>
  <si>
    <t>Clipper</t>
  </si>
  <si>
    <t>Schooner</t>
  </si>
  <si>
    <t>Windjammer</t>
  </si>
  <si>
    <t>Sail</t>
  </si>
  <si>
    <t>Plank</t>
  </si>
  <si>
    <t>Steel Ingot</t>
  </si>
  <si>
    <t>Stonecutter</t>
  </si>
  <si>
    <t>Stone</t>
  </si>
  <si>
    <t>Copper Mine</t>
  </si>
  <si>
    <t>Copper Ore</t>
  </si>
  <si>
    <t>Copper Smelter</t>
  </si>
  <si>
    <t>Copper Ingot</t>
  </si>
  <si>
    <t>Copper Armory</t>
  </si>
  <si>
    <t>Copper Sword</t>
  </si>
  <si>
    <t>Needs 2 Linseed Farms</t>
  </si>
  <si>
    <t>Needs 1/5 Bowyer</t>
  </si>
  <si>
    <t>Barracks</t>
  </si>
  <si>
    <t>Sheep Farm</t>
  </si>
  <si>
    <t>Weaver</t>
  </si>
  <si>
    <t>Wheat Field</t>
  </si>
  <si>
    <t>Wheat</t>
  </si>
  <si>
    <t>Wheat Farm</t>
  </si>
  <si>
    <t>Windmill</t>
  </si>
  <si>
    <t>Flour</t>
  </si>
  <si>
    <t>Needs 2 Wheat Farms</t>
  </si>
  <si>
    <t>Bakery</t>
  </si>
  <si>
    <t>Bread</t>
  </si>
  <si>
    <t>Needs 1/2 Windmill</t>
  </si>
  <si>
    <t>Horse</t>
  </si>
  <si>
    <t>Riding Arena</t>
  </si>
  <si>
    <t>Tobacco Field</t>
  </si>
  <si>
    <t>Tobacco</t>
  </si>
  <si>
    <t>Tobacco Farm</t>
  </si>
  <si>
    <t>Cigar Manufacturer</t>
  </si>
  <si>
    <t>Cigar</t>
  </si>
  <si>
    <t>Needs 2 Tobacco Farms</t>
  </si>
  <si>
    <t>Sailmaker</t>
  </si>
  <si>
    <t xml:space="preserve">Needs 1/2 Ropery (=1/2 Linseed Farm) and 1 Sheep Farm. </t>
  </si>
  <si>
    <t>Coal</t>
  </si>
  <si>
    <t>Needs 1 Lumberjack.</t>
  </si>
  <si>
    <t>Brickyard</t>
  </si>
  <si>
    <t>Brick</t>
  </si>
  <si>
    <t>Clay</t>
  </si>
  <si>
    <t>Clay Pit</t>
  </si>
  <si>
    <t>Longbowyer</t>
  </si>
  <si>
    <t>Longbow</t>
  </si>
  <si>
    <t>Needs 1 Linseed Farm and 1/2 Lumberjack. Can support 5 Archery Ranges.</t>
  </si>
  <si>
    <t>Needs 4/5 Copper Armory. 4 Copper Armories can support 5 Barracks</t>
  </si>
  <si>
    <t>Longbow Archery Range</t>
  </si>
  <si>
    <t>Needs 2 Linseed Farms and 1 Lumberjack. Can support 5 Longbow Archery Ranges.</t>
  </si>
  <si>
    <t>Cotton Field</t>
  </si>
  <si>
    <t>Cotton Plantation</t>
  </si>
  <si>
    <t>1 Longbowyer can support 5 Longbow Archery Ranges.</t>
  </si>
  <si>
    <t>Needs 2 Sheep Farms or 1 Cotton Plantation.</t>
  </si>
  <si>
    <t>Produces 50% more Wool Cloth in the same amount of time as a Weaver. Needs 1.5 Cotton Plantations.</t>
  </si>
  <si>
    <t>Clothes</t>
  </si>
  <si>
    <t>Coal Mine</t>
  </si>
  <si>
    <t>Hop Field</t>
  </si>
  <si>
    <t>Hops</t>
  </si>
  <si>
    <t>Hop Farm</t>
  </si>
  <si>
    <t>Malthouse</t>
  </si>
  <si>
    <t>Malt</t>
  </si>
  <si>
    <t>Needs 2 Wheat Farms.</t>
  </si>
  <si>
    <t>Brewery</t>
  </si>
  <si>
    <t>Beer</t>
  </si>
  <si>
    <t>Needs 1.5 Hop Farms and 1/2 Malthouses.</t>
  </si>
  <si>
    <t>Linseed Oil Press</t>
  </si>
  <si>
    <t>Linseed Oil</t>
  </si>
  <si>
    <t>Needs 1.33 Linseed Farms (4 Linseed Farms can support 3 Linseed Oil Presses).</t>
  </si>
  <si>
    <t>Medicus</t>
  </si>
  <si>
    <t>Medical Care</t>
  </si>
  <si>
    <t>Iron Mine</t>
  </si>
  <si>
    <t>Iron Ore</t>
  </si>
  <si>
    <t>Iron Smelter</t>
  </si>
  <si>
    <t>Iron Ingot</t>
  </si>
  <si>
    <t>Toolmaker</t>
  </si>
  <si>
    <t>Iron Armory</t>
  </si>
  <si>
    <t>Iron Sword</t>
  </si>
  <si>
    <t>Knight Barracks</t>
  </si>
  <si>
    <t>Needs 4/5 Iron Armory. 4 Iron Armories can support 5 Knight Barracks</t>
  </si>
  <si>
    <t>Cattle</t>
  </si>
  <si>
    <t>Rock Salt Mine</t>
  </si>
  <si>
    <t>Rock Salt</t>
  </si>
  <si>
    <t>Salt</t>
  </si>
  <si>
    <t>Butcher's Shop</t>
  </si>
  <si>
    <t>Meat</t>
  </si>
  <si>
    <t>Gold Mine</t>
  </si>
  <si>
    <t>Gold Ore</t>
  </si>
  <si>
    <t>Gold Smelter</t>
  </si>
  <si>
    <t>Gold Ingot</t>
  </si>
  <si>
    <t>Goldsmith</t>
  </si>
  <si>
    <t>Gold Jewelry</t>
  </si>
  <si>
    <t>Crossbow Maker</t>
  </si>
  <si>
    <t>Crossbow</t>
  </si>
  <si>
    <t>Needs 1 Linseed Farm and 2 Iron Smelters (1 Iron Mine).</t>
  </si>
  <si>
    <t>Crossbow Shooting Range</t>
  </si>
  <si>
    <t>Needs 2/5 Crossbow Maker (2 Crossbow Makers can support 5 Crossbow Shooting Ranges).</t>
  </si>
  <si>
    <t>Marble Quarry</t>
  </si>
  <si>
    <t>Marble</t>
  </si>
  <si>
    <t>Orkling</t>
  </si>
  <si>
    <t>Ship</t>
  </si>
  <si>
    <t>Hold Slots</t>
  </si>
  <si>
    <t>Slot Size</t>
  </si>
  <si>
    <t>Total Capacity</t>
  </si>
  <si>
    <t>Speed</t>
  </si>
  <si>
    <t>Travel time (hours, one way)</t>
  </si>
  <si>
    <t>Cargo capacity/h (one way)</t>
  </si>
  <si>
    <t>Cargo capacity/h (return, 50% empty)</t>
  </si>
  <si>
    <t>Gold cost</t>
  </si>
  <si>
    <t>Cargo Capacity/h (return, 50% empty)/1000 Gold</t>
  </si>
  <si>
    <t>Ship Capacity</t>
  </si>
  <si>
    <t>Orc Raider</t>
  </si>
  <si>
    <t>Orc Hunter</t>
  </si>
  <si>
    <t>Warg Rider</t>
  </si>
  <si>
    <t>Elite Orc Hunter</t>
  </si>
  <si>
    <t>Orc Demolisher</t>
  </si>
  <si>
    <t>Orc Veteran</t>
  </si>
  <si>
    <t>Elite Orc Sniper</t>
  </si>
  <si>
    <t>Orc Vanguard</t>
  </si>
  <si>
    <t>Bula, the Bully</t>
  </si>
  <si>
    <t>Aguk, the Destroyer</t>
  </si>
  <si>
    <t>Mazoga, the Indestructible</t>
  </si>
  <si>
    <t>Durgash, the Devastator</t>
  </si>
  <si>
    <t>Ship data</t>
  </si>
  <si>
    <t>Capacity by ship</t>
  </si>
  <si>
    <t>I have these ships, how much capacity does that give me?</t>
  </si>
  <si>
    <t>Quantity</t>
  </si>
  <si>
    <t>Total Cargo Capacity/h</t>
  </si>
  <si>
    <t>Ship name</t>
  </si>
  <si>
    <t>How long it takes the ship to sail to another island</t>
  </si>
  <si>
    <t>Cost to build the ship in gold</t>
  </si>
  <si>
    <t>How much return voyage cargo space you get if you spend 1000 Gold on this type of ship</t>
  </si>
  <si>
    <t>Ships needed for cargo volume</t>
  </si>
  <si>
    <t>I have this much cargo, how many of each type of ship would I need to move it to my home island?</t>
  </si>
  <si>
    <t>Total Cargo/h</t>
  </si>
  <si>
    <t>Quantity (exact)</t>
  </si>
  <si>
    <t>Quantity (rounded up)</t>
  </si>
  <si>
    <t>Average occupancy</t>
  </si>
  <si>
    <t>How full each ship would be on the outbound sailing</t>
  </si>
  <si>
    <t xml:space="preserve">This would be how many units of cargo to move in an hour. </t>
  </si>
  <si>
    <t xml:space="preserve">Note: this represents the maximum capacity if ships are able to fully load and unload their cargo space at each end of the trade route. When ships arrive at irregular intervals to an island, or the island storage is full, the actual cargo amount moved may be less than this. </t>
  </si>
  <si>
    <t xml:space="preserve">Orc units appear to be similar to Paragon units but with less Double Damage chance. This needs verification. </t>
  </si>
  <si>
    <t>Chance of inflicting double damage.</t>
  </si>
  <si>
    <t xml:space="preserve">Order in which units take damage from the enemy, as shown in the battle preparation view. </t>
  </si>
  <si>
    <t>Unit's special ability/abilities.</t>
  </si>
  <si>
    <t xml:space="preserve">These benchmark numbers affect the colour indicator in the ratio calculation. </t>
  </si>
  <si>
    <t xml:space="preserve">You can change these if you are willing to tolerate more or fewer losses. </t>
  </si>
  <si>
    <t>Paragon Expected Attack</t>
  </si>
  <si>
    <t>Orc Expected Attack</t>
  </si>
  <si>
    <t>Total Paragon Expected Attack</t>
  </si>
  <si>
    <t>Total Orc Expected Attack</t>
  </si>
  <si>
    <t>This shows how much of the enemy's health would be lost when your units attack, and vice versa. Green is good - better chance of killing all enemies and losing fewer units.</t>
  </si>
  <si>
    <t xml:space="preserve">Paragon Attack to Orc Health ratio </t>
  </si>
  <si>
    <t>Orc Attack to Paragon Health ratio</t>
  </si>
  <si>
    <t>Expected attack value takes double damage chance into account, but ignores special abilities.</t>
  </si>
  <si>
    <t>Island Model</t>
  </si>
  <si>
    <t>ID</t>
  </si>
  <si>
    <t>Resource</t>
  </si>
  <si>
    <t>Amount Produced</t>
  </si>
  <si>
    <t>Amount Consumed</t>
  </si>
  <si>
    <t>Yes</t>
  </si>
  <si>
    <t>Input 1 Consumed</t>
  </si>
  <si>
    <t>Input 2 Consumed</t>
  </si>
  <si>
    <t>Input 3 Consumed</t>
  </si>
  <si>
    <t>Input 4 Consumed</t>
  </si>
  <si>
    <t>Assume All Inputs Are Available?</t>
  </si>
  <si>
    <t>Input 1 Assume Available</t>
  </si>
  <si>
    <t>Input 2 Assume Available</t>
  </si>
  <si>
    <t>Input 3 Assume Available</t>
  </si>
  <si>
    <t>Input 4 Assume Available</t>
  </si>
  <si>
    <t>Resource 1</t>
  </si>
  <si>
    <t>Resource 2</t>
  </si>
  <si>
    <t>Resource 3</t>
  </si>
  <si>
    <t>Resource 4</t>
  </si>
  <si>
    <t>Resource 5</t>
  </si>
  <si>
    <t>ROW ID</t>
  </si>
  <si>
    <t>Resource 1 Qty</t>
  </si>
  <si>
    <t>Resource 2 Qty</t>
  </si>
  <si>
    <t>Resource 3 Qty</t>
  </si>
  <si>
    <t>Resource 4 Qty</t>
  </si>
  <si>
    <t>Resource 5 Qty</t>
  </si>
  <si>
    <t>How much can be consumed based on what's in island storage</t>
  </si>
  <si>
    <t>Input 1 Available</t>
  </si>
  <si>
    <t>Input 1 Needed</t>
  </si>
  <si>
    <t>Input Consumption Multiplier</t>
  </si>
  <si>
    <t>Input 2 Needed</t>
  </si>
  <si>
    <t>Input 2 Available</t>
  </si>
  <si>
    <t>Input 3 Needed</t>
  </si>
  <si>
    <t>Input 3 Available</t>
  </si>
  <si>
    <t>Input 4 Needed</t>
  </si>
  <si>
    <t>Input 4 Available</t>
  </si>
  <si>
    <t>Qty needed for full production in this building</t>
  </si>
  <si>
    <t>Consumption multiplier</t>
  </si>
  <si>
    <t>Consumption Multiplier override</t>
  </si>
  <si>
    <t>Select the resource you want to monitor levels of.</t>
  </si>
  <si>
    <t>How much your model island produces in total.</t>
  </si>
  <si>
    <t>Resource Monitor</t>
  </si>
  <si>
    <t>Production Model</t>
  </si>
  <si>
    <t>All Resource Totals</t>
  </si>
  <si>
    <t>The resource that the building produces.</t>
  </si>
  <si>
    <t>The amount of input needed to make 1 unit of the output resource. This ignores production time.</t>
  </si>
  <si>
    <t>The number of units of the output resource that are produced in 1 hour, if the building is fully supplied with all required inputs.</t>
  </si>
  <si>
    <t>Additional notes e.g. ideal ratios of different buildings.</t>
  </si>
  <si>
    <t>Used to keep track of the state of the model</t>
  </si>
  <si>
    <t>The number of each building you have.</t>
  </si>
  <si>
    <t>Building name.</t>
  </si>
  <si>
    <t>The resource this building makes.</t>
  </si>
  <si>
    <t>How much output resource is produced per hour.</t>
  </si>
  <si>
    <t>The first of up to 4 inputs to the production building.</t>
  </si>
  <si>
    <t>How much is actually consumed (considering the limited amounts of all the other inputs)</t>
  </si>
  <si>
    <t>Changes in resource levels are summed across the whole model, for each of the resources.</t>
  </si>
  <si>
    <t>Yes = The model will assume this building is fully supplied instead of requiring the inputs to come from previous steps in the model. Blank value is treated as No.</t>
  </si>
  <si>
    <t>Yes = The model will assume this resource is fully available instead of requiring the inputs to come from previous steps in the model. The input won't be consumed. Blank = No.</t>
  </si>
  <si>
    <t xml:space="preserve">The model ignores effects such as some buildings getting inputs from farms instead of island storage. </t>
  </si>
  <si>
    <t>Note: Each row is treated as a separate addition to the model. If the building on one row uses up all of a resource, that resource won't be available to buildings lower down the table.</t>
  </si>
  <si>
    <t>Trample, First Strike</t>
  </si>
  <si>
    <t>See also this battle calculator by user eiowlta on the Paragon Pioneers Discord:</t>
  </si>
  <si>
    <t>https://parpio-battle.github.io/parpio-battle/</t>
  </si>
  <si>
    <t>Consumption Model</t>
  </si>
  <si>
    <t>Consumption Data</t>
  </si>
  <si>
    <t>Consumption/person/h</t>
  </si>
  <si>
    <t>Residents</t>
  </si>
  <si>
    <t>Building name</t>
  </si>
  <si>
    <t>Population count when full</t>
  </si>
  <si>
    <t>Resources consumed, one per row</t>
  </si>
  <si>
    <t xml:space="preserve">For modelling resource consumption by the island's population. </t>
  </si>
  <si>
    <t>LookupValue</t>
  </si>
  <si>
    <t>Building names for drop down menu and resident counts.</t>
  </si>
  <si>
    <t>Used to identify row in Island Model</t>
  </si>
  <si>
    <t>Satisfaction</t>
  </si>
  <si>
    <t>Resource Demand</t>
  </si>
  <si>
    <t>Resource Available</t>
  </si>
  <si>
    <t>Enter the number of residence buildings you have</t>
  </si>
  <si>
    <t>Select the building type</t>
  </si>
  <si>
    <t>Average satisfaction level across all goods</t>
  </si>
  <si>
    <t>Needs Satisfaction</t>
  </si>
  <si>
    <t>Luxuries Satisfaction</t>
  </si>
  <si>
    <t>Average satisfaction of goods marked as Needs</t>
  </si>
  <si>
    <t>Average satisfaction of goods marked as Luxuries</t>
  </si>
  <si>
    <t>Type</t>
  </si>
  <si>
    <t>Need</t>
  </si>
  <si>
    <t>Needs and luxuries that are based on building proximity effects are ignored, except where the building consumes a good to operate.</t>
  </si>
  <si>
    <t>Luxury</t>
  </si>
  <si>
    <t>Resource names for drop down menu in Consumption Model</t>
  </si>
  <si>
    <t>Satisfaction level of this good</t>
  </si>
  <si>
    <t>Whether the good is a need or luxury for this class of residence</t>
  </si>
  <si>
    <t>Used to look up data from Production tab</t>
  </si>
  <si>
    <t>Amount of resource available from Production Model. Resource is used up one row at a time in this model, so residences higher up the table get satisfied first.</t>
  </si>
  <si>
    <t>Water</t>
  </si>
  <si>
    <t>Community</t>
  </si>
  <si>
    <t>Education</t>
  </si>
  <si>
    <t>Well</t>
  </si>
  <si>
    <t>Tavern</t>
  </si>
  <si>
    <t>School</t>
  </si>
  <si>
    <t>Bathhouse</t>
  </si>
  <si>
    <t>Hygiene</t>
  </si>
  <si>
    <t>Land tiles are modelled as producing themselves, for the purpose of the island model.</t>
  </si>
  <si>
    <t>Land tiles are modelled so you can see if your island is too small for the farmland you want to add. Only crop fields consume Land tiles. Set it to an arbitrarily high value if you don't care about island size.</t>
  </si>
  <si>
    <t>Island size (e.g. 12)</t>
  </si>
  <si>
    <t>Estimated land area</t>
  </si>
  <si>
    <t>Estimated water perimeter area</t>
  </si>
  <si>
    <t>Not all of the land is useable for farming. You need some land for farm buildings and warehouses.</t>
  </si>
  <si>
    <t>We assume that the map generator pushes the coastline into the island by 1 square about 50% of the time and 2 squares about 25% of the time.</t>
  </si>
  <si>
    <t>We assume that the coastline is pushed into the island by 1 square about 25% of the time, making the coastline longer each time this happens.</t>
  </si>
  <si>
    <t>Water tiles perform the same function for Fish and Salt producing buildings. Mountain tiles do this for the Stonecutter.</t>
  </si>
  <si>
    <t>Arbitary production value of 1/h - for compatibility with Island Model</t>
  </si>
  <si>
    <t>We assume 10% of the land area is mountains.</t>
  </si>
  <si>
    <t>Amount produced/h</t>
  </si>
  <si>
    <t>Amount of resource demanded per hour by this class of building. Water, Community, Education, Hygiene are assumed to be satisfied if there is any production of those goods in the model.</t>
  </si>
  <si>
    <t>How much of this resource is consumed by other production buildings.</t>
  </si>
  <si>
    <t>How much of the resource remains for other uses including consumption by your population.</t>
  </si>
  <si>
    <t xml:space="preserve">You should use the Consumption model to look at whether you have enough goods for your population. </t>
  </si>
  <si>
    <t>"Do I have enough goods to satisfy my population's needs?"</t>
  </si>
  <si>
    <t>"How much goods am I producing?"</t>
  </si>
  <si>
    <t>"How satisfied is my population?"</t>
  </si>
  <si>
    <t>"I have these buildings on my island, how much of a specific resource can I produce?"</t>
  </si>
  <si>
    <t>Amount Available After Resident Consumption</t>
  </si>
  <si>
    <t>Amount Available for Resident Consumption</t>
  </si>
  <si>
    <t>Amount Available after Resident Consumption</t>
  </si>
  <si>
    <t>Building Production and Consumption Data</t>
  </si>
  <si>
    <t>Timer</t>
  </si>
  <si>
    <t>Fertility/Deposit</t>
  </si>
  <si>
    <t>Saltern</t>
  </si>
  <si>
    <t>Ropes</t>
  </si>
  <si>
    <t>Yarn</t>
  </si>
  <si>
    <t>Fabric</t>
  </si>
  <si>
    <t>Tools</t>
  </si>
  <si>
    <t>Silk</t>
  </si>
  <si>
    <t>Silk Cloth</t>
  </si>
  <si>
    <t>Dye</t>
  </si>
  <si>
    <t>Garment</t>
  </si>
  <si>
    <t>Gemstone</t>
  </si>
  <si>
    <t>Goblet</t>
  </si>
  <si>
    <t>Honey</t>
  </si>
  <si>
    <t>Candle</t>
  </si>
  <si>
    <t>Liqueur</t>
  </si>
  <si>
    <t>Lobster</t>
  </si>
  <si>
    <t>Feast</t>
  </si>
  <si>
    <t>Grapes</t>
  </si>
  <si>
    <t>Barrel</t>
  </si>
  <si>
    <t>Wine</t>
  </si>
  <si>
    <t>Paper</t>
  </si>
  <si>
    <t>Book</t>
  </si>
  <si>
    <t>Coke</t>
  </si>
  <si>
    <t>Armored Horse</t>
  </si>
  <si>
    <t>Salpetre</t>
  </si>
  <si>
    <t>Gunpowder</t>
  </si>
  <si>
    <t>Cannon</t>
  </si>
  <si>
    <t>Metal Cuttings</t>
  </si>
  <si>
    <t>Fireworks</t>
  </si>
  <si>
    <t>Water tiles are modelled as producing themselves, for the purpose of the island model.</t>
  </si>
  <si>
    <t>Footsoldier</t>
  </si>
  <si>
    <t>Mountain tiles are modelled as consuming 1 land tile and producing 1 of themselves, for the purpose of the island model.</t>
  </si>
  <si>
    <t>% to scale production by</t>
  </si>
  <si>
    <t>Shipyard (producing Hulk)</t>
  </si>
  <si>
    <t>Shipyard (producing Pinnace)</t>
  </si>
  <si>
    <t>Great Shipyard (producing Galleon)</t>
  </si>
  <si>
    <t>Great Shipyard (producing Clipper)</t>
  </si>
  <si>
    <t>Advanced Shipyard (producing Schooner)</t>
  </si>
  <si>
    <t>Advanced Shipyard (producing Windjammer)</t>
  </si>
  <si>
    <t>If a fertility or deposit is required for this building, note it here (not considered in model)</t>
  </si>
  <si>
    <t>Pioneer's Hut (only consuming fish)</t>
  </si>
  <si>
    <t>Consumption from game (x per minute)</t>
  </si>
  <si>
    <t>Consumption (per hour)</t>
  </si>
  <si>
    <t>Number of residences</t>
  </si>
  <si>
    <t>Consumption per residence per hour</t>
  </si>
  <si>
    <t>Lower bound</t>
  </si>
  <si>
    <t>Upper bound</t>
  </si>
  <si>
    <t>Consumption per resident per second</t>
  </si>
  <si>
    <t>Residents in 1 residence</t>
  </si>
  <si>
    <t>App displayed consumption rates converter</t>
  </si>
  <si>
    <t>Power of -1</t>
  </si>
  <si>
    <t>Textile Mill</t>
  </si>
  <si>
    <t>Cattle Ranch</t>
  </si>
  <si>
    <t>Silk Plantation</t>
  </si>
  <si>
    <t>Indigo Plantation</t>
  </si>
  <si>
    <t>Needs 2 Silk Plantations.</t>
  </si>
  <si>
    <t>Supplies 1/2 Silk Mill.</t>
  </si>
  <si>
    <t>Gemstone Mine</t>
  </si>
  <si>
    <t>Gem</t>
  </si>
  <si>
    <t>Mulberry Trees</t>
  </si>
  <si>
    <t>Needs 1/2 Silk Mill and 1/2 Indigo Plantation.</t>
  </si>
  <si>
    <t>Goblet Manufacturer</t>
  </si>
  <si>
    <t>Apiary</t>
  </si>
  <si>
    <t>Chandler</t>
  </si>
  <si>
    <t>Fine Forge</t>
  </si>
  <si>
    <t>Cokery</t>
  </si>
  <si>
    <t>Steel Furnace</t>
  </si>
  <si>
    <t>Armorsmith</t>
  </si>
  <si>
    <t>Cuirassier Academy</t>
  </si>
  <si>
    <t>Distillery</t>
  </si>
  <si>
    <t>Lobsterer</t>
  </si>
  <si>
    <t>Reef</t>
  </si>
  <si>
    <t>Noble Kitchen</t>
  </si>
  <si>
    <t>Winery</t>
  </si>
  <si>
    <t>Grape</t>
  </si>
  <si>
    <t>Cooper</t>
  </si>
  <si>
    <t>Paper Mill</t>
  </si>
  <si>
    <t>Bookbinder</t>
  </si>
  <si>
    <t>Nitrate Maker</t>
  </si>
  <si>
    <t>Powder Mill</t>
  </si>
  <si>
    <t>Cannon Foundry</t>
  </si>
  <si>
    <t>Planing Mill</t>
  </si>
  <si>
    <t>Gunsmith</t>
  </si>
  <si>
    <t>Needs 1.6 Lumberjacks. 8 Lumberjacks can supply 5 Paper Mills.</t>
  </si>
  <si>
    <t>Needs 1 Gold Smelter and 3/8 of a Gemstone Mine.</t>
  </si>
  <si>
    <t>Needs 1/2 Linseed Farm and 2 Apiaries.</t>
  </si>
  <si>
    <t>Needs 1.5 Chandlers and 2 Copper Smelters.</t>
  </si>
  <si>
    <t>Needs 2 Iron Smelters and 1 Cokery.</t>
  </si>
  <si>
    <t>Needs 2/5 of an Armorsmith. 5 Armorsmiths can supply 2 Cuirassier Academies.</t>
  </si>
  <si>
    <t>Needs 1 Potato Farm and 2 Apiaries.</t>
  </si>
  <si>
    <t>Needs 1 Lobsterer and 1.5 Distilleries.</t>
  </si>
  <si>
    <t>Needs 4/5 of a Sawmill amd 2 Iron Smelters</t>
  </si>
  <si>
    <t>Needs 4/3 of a Winery and 2/3 of a Cooper. 4 Wineries and 2 Coopers can supply 3 Wine Presses.</t>
  </si>
  <si>
    <t>Needs 1 Paper Mill and 1/2 Indigo Plantation.</t>
  </si>
  <si>
    <t>Needs 1 Nitrate Maker and 1/2 Coal Mine (or 1 Lumberjack's worth of coal production)</t>
  </si>
  <si>
    <t>Needs 1/2 Steel Furnace and 1/2 Powder Mill</t>
  </si>
  <si>
    <t>Needs 4/5 Cannon Foundry.</t>
  </si>
  <si>
    <t>Needs 2 Copper Smelters and 2 Iron Smelters</t>
  </si>
  <si>
    <t>Needs 1 Planing Mill and 2 Powder Mills</t>
  </si>
  <si>
    <t>Concert Hall</t>
  </si>
  <si>
    <t>Tiltyard</t>
  </si>
  <si>
    <t>University</t>
  </si>
  <si>
    <t>Entertainment</t>
  </si>
  <si>
    <t>Set this to less than 100% if you don't want to produce at full capacity. Setting it higher than your available resources has no effect.</t>
  </si>
  <si>
    <t>Resource 6</t>
  </si>
  <si>
    <t>Resource 6 Qty</t>
  </si>
  <si>
    <t>Resource 7</t>
  </si>
  <si>
    <t>Resource 7 Qty</t>
  </si>
  <si>
    <t>Resource 8</t>
  </si>
  <si>
    <t>Resource 8 Qty</t>
  </si>
  <si>
    <t>Resource 9</t>
  </si>
  <si>
    <t>Resource 9 Qty</t>
  </si>
  <si>
    <t>Resource 10</t>
  </si>
  <si>
    <t>Resource 10 Qty</t>
  </si>
  <si>
    <t>Qty Produced per Timer cycle</t>
  </si>
  <si>
    <t>Number of units of produced resource, per timer cycle (scales inputs correctly)</t>
  </si>
  <si>
    <t>Input 5</t>
  </si>
  <si>
    <t>Input 5 Quantity</t>
  </si>
  <si>
    <t>Input 6</t>
  </si>
  <si>
    <t>Input 6 Quantity</t>
  </si>
  <si>
    <t>Input 7</t>
  </si>
  <si>
    <t>Input 7 Quantity</t>
  </si>
  <si>
    <t>Input 8</t>
  </si>
  <si>
    <t>Input 8 Quantity</t>
  </si>
  <si>
    <t>Input 9</t>
  </si>
  <si>
    <t>Input 10</t>
  </si>
  <si>
    <t>Input 10 Quantity</t>
  </si>
  <si>
    <t>Displayed value</t>
  </si>
  <si>
    <t>Consumption Rate Converter</t>
  </si>
  <si>
    <t>Used to estimate the true consumption rate of residential buildings from the information displayed in the game.</t>
  </si>
  <si>
    <t>The amount of input needed to make 1 unit of the output resource. This ignores production time. Not used in model. FYI only.</t>
  </si>
  <si>
    <t>Each hour, some fraction of the total input is consumed depending on how long it takes to actually build the whole ship.</t>
  </si>
  <si>
    <t>How many lots of input resources (which are usually the amounts per building) are consumed in 1 hour of building operation. Usually the same value as the 1 hour production. Does not affect inputs that are e.g. land tiles.</t>
  </si>
  <si>
    <t>Assumes full need and luxury satisfaction, except with no Schnapps consumption. Input values are per hour, per building.</t>
  </si>
  <si>
    <t>Assumes full need and luxury satisfaction. Input values are per hour, per building.</t>
  </si>
  <si>
    <t>Forester</t>
  </si>
  <si>
    <t>Only for modelling the land consumption of this building.</t>
  </si>
  <si>
    <t>Warehouse 1</t>
  </si>
  <si>
    <t>Assumed that trees regrow after 2:24 minutes and that the lumberjack has 12 available. For land modelling, it's assumed that the lumberjack needs 7 land tiles to operate.</t>
  </si>
  <si>
    <t>Kontor</t>
  </si>
  <si>
    <t>Warehouse 2</t>
  </si>
  <si>
    <t>Garrison 1</t>
  </si>
  <si>
    <t>Warehouse 3</t>
  </si>
  <si>
    <t>Garrison 2</t>
  </si>
  <si>
    <t>Warehouse 4</t>
  </si>
  <si>
    <t>Garrison 3</t>
  </si>
  <si>
    <t xml:space="preserve">If the inputs aren't consumed during production, this should be set to 0. Needs to be set to 1 for Farms. Does not affect land tiles. </t>
  </si>
  <si>
    <t>Copper</t>
  </si>
  <si>
    <t>Horse Field</t>
  </si>
  <si>
    <t>Potato</t>
  </si>
  <si>
    <t>Cotton</t>
  </si>
  <si>
    <t>Iron</t>
  </si>
  <si>
    <t>Cattle Field</t>
  </si>
  <si>
    <t>Halite</t>
  </si>
  <si>
    <t>Salt Works</t>
  </si>
  <si>
    <t>Sllk</t>
  </si>
  <si>
    <t>Resource 11</t>
  </si>
  <si>
    <t>Resource 11 Qty</t>
  </si>
  <si>
    <t>Input 5 Assume Available</t>
  </si>
  <si>
    <t>Input 5 Needed</t>
  </si>
  <si>
    <t>Input 5 Available</t>
  </si>
  <si>
    <t>Input 5 Consumed</t>
  </si>
  <si>
    <t>Input 6 Assume Available</t>
  </si>
  <si>
    <t>Input 6 Needed</t>
  </si>
  <si>
    <t>Input 6 Available</t>
  </si>
  <si>
    <t>Input 6 Consumed</t>
  </si>
  <si>
    <t>Input 7 Assume Available</t>
  </si>
  <si>
    <t>Input 7 Needed</t>
  </si>
  <si>
    <t>Input 7 Available</t>
  </si>
  <si>
    <t>Input 7 Consumed</t>
  </si>
  <si>
    <t>Input 8 Assume Available</t>
  </si>
  <si>
    <t>Input 8 Needed</t>
  </si>
  <si>
    <t>Input 8 Available</t>
  </si>
  <si>
    <t>Input 8 Consumed</t>
  </si>
  <si>
    <t>Input 9 Assume Available</t>
  </si>
  <si>
    <t>Input 9 Needed</t>
  </si>
  <si>
    <t>Input 9 Available</t>
  </si>
  <si>
    <t>Input 9 Consumed</t>
  </si>
  <si>
    <t>Input 10 Assume Available</t>
  </si>
  <si>
    <t>Input 10 Needed</t>
  </si>
  <si>
    <t>Input 10 Available</t>
  </si>
  <si>
    <t>Input 10 Consumed</t>
  </si>
  <si>
    <t>Input 9 Quantity</t>
  </si>
  <si>
    <t>Bathhouse (providing Water)</t>
  </si>
  <si>
    <t>Arbitary production value of 1/h - for compatibility with Island Model. Consumes 0 land tiles.</t>
  </si>
  <si>
    <t>Shortfall vs resident demand</t>
  </si>
  <si>
    <t>How much resource is left after production and consumption needs.</t>
  </si>
  <si>
    <t>The shortfall compared to 100% supply of all production and residential buildings.</t>
  </si>
  <si>
    <t xml:space="preserve">Needs 3 Linseed Oil Presses. Covers 24 squares (5x5 excluding centre square). Arbitary production value of 1/h - for compatibility with Island Model. </t>
  </si>
  <si>
    <t>Covers 36 tiles. Arbitary production value of 1/h - for compatibility with Island Model</t>
  </si>
  <si>
    <t>Covers 24 tiles (5x5 minus centre square). Arbitary production value of 1/h - for compatibility with Island Model</t>
  </si>
  <si>
    <t>Island Size Calculator</t>
  </si>
  <si>
    <t>Uses the assumptions in the Island Model to display the estimated land tiles available for different island sizes.</t>
  </si>
  <si>
    <t>Estimated Mountain area</t>
  </si>
  <si>
    <t>Favor on conquest and handover</t>
  </si>
  <si>
    <t>How much Favor you get for fully conquering the island and handing it over.</t>
  </si>
  <si>
    <t>Good</t>
  </si>
  <si>
    <t>Land required</t>
  </si>
  <si>
    <t>Minimum Island Size</t>
  </si>
  <si>
    <t>Estimated Land Area on Island</t>
  </si>
  <si>
    <t>% occupancy</t>
  </si>
  <si>
    <t>% occupancy of next size up</t>
  </si>
  <si>
    <t>When islands get unlocked</t>
  </si>
  <si>
    <t>Island number</t>
  </si>
  <si>
    <t>Favor needed</t>
  </si>
  <si>
    <t>Power of 2</t>
  </si>
  <si>
    <t>Ship Island</t>
  </si>
  <si>
    <t>Needs to be placed adjacent to a Marble deposit.</t>
  </si>
  <si>
    <t>Consumption data from Paragon Pioneers wiki 2022-07-04</t>
  </si>
  <si>
    <t>Amount of resource consumed, per hour</t>
  </si>
  <si>
    <t>Production rate per person per second</t>
  </si>
  <si>
    <t>Production per resident per second</t>
  </si>
  <si>
    <t>Production/person/h</t>
  </si>
  <si>
    <t>Amount of product (militia/gold/favor) produced per person per hour, if this consumption is fully satisfied</t>
  </si>
  <si>
    <t>Product</t>
  </si>
  <si>
    <t>The rate that satisfying this demand will add to the building's production (scales by how well the demand is satisfied).</t>
  </si>
  <si>
    <t>What this building produces.</t>
  </si>
  <si>
    <t>Resource values represent resource amounts produced in 1 hour. For residence buildings, the model assumes 100% satisfaction of needs and luxuries. Use the Consumption Model if you need a true calculation of production based on partial satisfaction.</t>
  </si>
  <si>
    <t>Consumption Model Summary</t>
  </si>
  <si>
    <t>"Exactly how much militia/gold/favor production am I getting from my population?"</t>
  </si>
  <si>
    <t>Production Rate (per building per h) by Demanded Resource</t>
  </si>
  <si>
    <t>The true production rate of the resource that this residence produces, depending on which demands have been satisfied.</t>
  </si>
  <si>
    <t>Limiting factors</t>
  </si>
  <si>
    <t>Shows which resources are holding back production.</t>
  </si>
  <si>
    <t>How much land you need for each of the '1000 Paragons - 2' goods needs</t>
  </si>
  <si>
    <t>For data on residences, see the Paragon Pioneers wiki:</t>
  </si>
  <si>
    <t>https://paragonpioneers.fandom.com/wiki/Population</t>
  </si>
  <si>
    <t>Feast (Potatoes, Honey, Reef)</t>
  </si>
  <si>
    <t>Bread (Wheat)</t>
  </si>
  <si>
    <t>Schnapps (Potatoes)</t>
  </si>
  <si>
    <t>Island Concepts</t>
  </si>
  <si>
    <t>Fertilities Needed</t>
  </si>
  <si>
    <t>Deposits Needed</t>
  </si>
  <si>
    <t>Size</t>
  </si>
  <si>
    <t>Other useful fertilities</t>
  </si>
  <si>
    <t>Other useful deposits</t>
  </si>
  <si>
    <t>Military Island</t>
  </si>
  <si>
    <t>Land or water-based Needs</t>
  </si>
  <si>
    <t>Mountain-based Needs</t>
  </si>
  <si>
    <t>Construction resources</t>
  </si>
  <si>
    <t>Stone (abundant)</t>
  </si>
  <si>
    <t>Bricks (needs Clay, Coal)</t>
  </si>
  <si>
    <t>Fish (abundant)</t>
  </si>
  <si>
    <t>Fabric (Cotton or just sheep)</t>
  </si>
  <si>
    <t>Cigar (Tobacco)</t>
  </si>
  <si>
    <t>Clothes (Cotton or just sheep)</t>
  </si>
  <si>
    <t>Beer (Wheat, Hops)</t>
  </si>
  <si>
    <t>Medical Care (Linseed)</t>
  </si>
  <si>
    <t>Linen (Linseed)</t>
  </si>
  <si>
    <t>Garment (Silk, Dye)</t>
  </si>
  <si>
    <t>Gold Jewelry (Gold, Coal)</t>
  </si>
  <si>
    <t>Goblet (Coal, Gold, Gems)</t>
  </si>
  <si>
    <t>Meat (Salt, Coal, lots of land)</t>
  </si>
  <si>
    <t>Both land/water and mountain</t>
  </si>
  <si>
    <t>Wine (Grapes, Iron, Coal)</t>
  </si>
  <si>
    <t>Entertainment (land for horses)</t>
  </si>
  <si>
    <t>Island ID</t>
  </si>
  <si>
    <t>Copper, Coal</t>
  </si>
  <si>
    <t>Iron, Coal</t>
  </si>
  <si>
    <t>22+</t>
  </si>
  <si>
    <t>Potatoes</t>
  </si>
  <si>
    <t>18-22</t>
  </si>
  <si>
    <t>20+</t>
  </si>
  <si>
    <t>Cotton, Tobacco</t>
  </si>
  <si>
    <t>Wheat, Hops</t>
  </si>
  <si>
    <t>Halite, Coal</t>
  </si>
  <si>
    <t>Silk, Dye</t>
  </si>
  <si>
    <t>Golden Garments (Garments + Gold Jewelry)</t>
  </si>
  <si>
    <t>Gold, Gems</t>
  </si>
  <si>
    <t>Banquet Island (Feasts, Goblets)</t>
  </si>
  <si>
    <t>Potatoes, Honey, Reef</t>
  </si>
  <si>
    <t>Linseed, Honey</t>
  </si>
  <si>
    <t>Clay, Coal</t>
  </si>
  <si>
    <t>18+</t>
  </si>
  <si>
    <t>Cannon Island (Cannoneer, Cuirassier)</t>
  </si>
  <si>
    <t>&lt;empty slot&gt;</t>
  </si>
  <si>
    <t>Salpetre, Iron</t>
  </si>
  <si>
    <t>Progress</t>
  </si>
  <si>
    <t>Horses + (Bricks)</t>
  </si>
  <si>
    <t>Step</t>
  </si>
  <si>
    <t>Equivalent handover island size</t>
  </si>
  <si>
    <t>Amount of favor needed to reach next level</t>
  </si>
  <si>
    <t>Size of island that you could hand over to immediately reach the next level</t>
  </si>
  <si>
    <t>Can't be built directly, but expands into empty land tiles when the Cattle Ranch is built.</t>
  </si>
  <si>
    <t>Silk Twine Mill</t>
  </si>
  <si>
    <t>Indigo Field</t>
  </si>
  <si>
    <t>Garrison 4</t>
  </si>
  <si>
    <t>For modelling land use.</t>
  </si>
  <si>
    <t>Warehouse 5</t>
  </si>
  <si>
    <t>Gambling</t>
  </si>
  <si>
    <t>Beehive</t>
  </si>
  <si>
    <t>Concert Hall (providing Community)</t>
  </si>
  <si>
    <t>Consumes 0 water tiles (the reef tiles are offshore)</t>
  </si>
  <si>
    <t>Vineyard</t>
  </si>
  <si>
    <t>Winepress</t>
  </si>
  <si>
    <t>Needs a supply of 15 Books per hour (2 Bookbinders' worth of book production)</t>
  </si>
  <si>
    <t>Cannoneer's School</t>
  </si>
  <si>
    <t>Candle Holder</t>
  </si>
  <si>
    <t>Palace Foundation</t>
  </si>
  <si>
    <t>Candle Holder (Linseed, Honey, Copper)</t>
  </si>
  <si>
    <t>Roadmap for reaching 1000 Paragons / ideas for harmonious island combinations</t>
  </si>
  <si>
    <t>The timer on a building (in minutes), or set to 60 for a continuous production building/land tile/farm field</t>
  </si>
  <si>
    <t>Clothes Island + (Tools/Marble/Bricks)</t>
  </si>
  <si>
    <t>Fabric + Cigar + (Tools/Marble/Bricks)</t>
  </si>
  <si>
    <t>Bread + (Tools/Marble/Bricks)</t>
  </si>
  <si>
    <t>Beer + (Tools/Marble/Bricks)</t>
  </si>
  <si>
    <t>Wine Island + (Tools)</t>
  </si>
  <si>
    <t>22-24</t>
  </si>
  <si>
    <t>Candle Holder Island</t>
  </si>
  <si>
    <t>Include 5 minute waiting time at each port?</t>
  </si>
  <si>
    <t>How much cargo the ship can take on one-way voyages, per hour (ignores waiting time)</t>
  </si>
  <si>
    <t>How much cargo the ship can take on return voyages, per hour, assuming the ship returns empty after each trip (includes waiting time if setting above = Yes)</t>
  </si>
  <si>
    <t>Killing Mazoga (boss 3) with Knights and Crossbowmen:</t>
  </si>
  <si>
    <t>Killing Durgash (boss 4) with Knights and Crossbowmen:</t>
  </si>
  <si>
    <t>Killing Aguk (boss 2) with Knights and Crossbowmen:</t>
  </si>
  <si>
    <t>Production Target</t>
  </si>
  <si>
    <t>Pinnaces needed to move all the produced goods</t>
  </si>
  <si>
    <t>Caravels needed to move all the produced goods</t>
  </si>
  <si>
    <t>Resource Chain</t>
  </si>
  <si>
    <t>Amount Produced Per Hour (Whole Chain)</t>
  </si>
  <si>
    <t>Amount Produced Per Hour (1 End Building)</t>
  </si>
  <si>
    <t>Ratio</t>
  </si>
  <si>
    <t>Buildings in Chain</t>
  </si>
  <si>
    <t>Lumberjack : Linseed Farm : Bowyer : Archer</t>
  </si>
  <si>
    <t>Gold and militia requirements are ignored.</t>
  </si>
  <si>
    <t>Lumberjack : Sawmill : Linseed Farm : Ropery</t>
  </si>
  <si>
    <t>If you only build one of the end producing building. This doesn't apply to ships.</t>
  </si>
  <si>
    <t>Hop Farm : Wheat Farm : Malthouse : Brewery</t>
  </si>
  <si>
    <t>Wheat Farm : Windmill : Bakery</t>
  </si>
  <si>
    <t>Tobacco Farm : Cigar Manufacturer</t>
  </si>
  <si>
    <t>Clothes (Sheep Farm, Weaver)</t>
  </si>
  <si>
    <t>Clothes (Cotton Plantation, Textile Mill)</t>
  </si>
  <si>
    <t>Clothes (Sheep Farm, Textile Mill)</t>
  </si>
  <si>
    <t>Clothes (Cotton Plantation, Weaver)</t>
  </si>
  <si>
    <t>1 Sheep Farm produces 30 Yarn</t>
  </si>
  <si>
    <t>1 Cotton Plantation produces 60 Yarn</t>
  </si>
  <si>
    <t>Each Cotton Plantation saves you 9 land tiles vs Sheep Farms.</t>
  </si>
  <si>
    <t>Assumes you build exactly as specified by the ratio.</t>
  </si>
  <si>
    <t>Fabric (Sheep Farm, Weaver)</t>
  </si>
  <si>
    <t>Fabric (Sheep Farm, Textile Mill)</t>
  </si>
  <si>
    <t>Fabric (Cotton Plantation, Weaver)</t>
  </si>
  <si>
    <t>Fabric (Cotton Plantation, Textile Mill)</t>
  </si>
  <si>
    <t>Sheep Farm : Weaver</t>
  </si>
  <si>
    <t>Cotton Plantation : Weaver</t>
  </si>
  <si>
    <t>Sheep Farm : Textile Mill</t>
  </si>
  <si>
    <t>Cotton Plantation : Textile Mill</t>
  </si>
  <si>
    <t>Lumberjack : Sawmill : Linseed Farm : Ropery : Sheep Farm : Sailmaker</t>
  </si>
  <si>
    <t>-</t>
  </si>
  <si>
    <t>Potato Farm : Apiary : Distillery : Lobsterer : Noble Kitchen</t>
  </si>
  <si>
    <t>Needs 1/2 Copper Mine and 1/4 Lumberjack</t>
  </si>
  <si>
    <t>Lumberjack : Copper Mine : Copper Smelter : Linseed Farm : Apiary : Chandler : Fine Forge</t>
  </si>
  <si>
    <t>Lumberjack : Copper Mine : Copper Smelter : Copper Armory : Barracks</t>
  </si>
  <si>
    <t>Coal Mine : Gold Mine : Gold Smelter : Gemstone Mine : Goblet Manufacturer</t>
  </si>
  <si>
    <t>Coal Mine : Gold Mine : Gold Smelter : Goldsmith</t>
  </si>
  <si>
    <t>Coal Mine : Iron Mine : Iron Smelter : Iron Armory : Knight Barracks</t>
  </si>
  <si>
    <t>Linseed Farm : Linen Weaver</t>
  </si>
  <si>
    <t>Lumberjack : Linseed Farm : Longbowyer : Longbow Archery Range</t>
  </si>
  <si>
    <t>Meat (Saltern)</t>
  </si>
  <si>
    <t>Meat (Salt Works)</t>
  </si>
  <si>
    <t>Coal Mine : Rock Salt Mine : Salt Works : Cattle Ranch : Butcher's Shop</t>
  </si>
  <si>
    <t>Saltern : Cattle Ranch : Butcher's Shop</t>
  </si>
  <si>
    <t>Linseed Farm : Linseed Oil Press : Medicus</t>
  </si>
  <si>
    <t>Lumberjack : Paper Mill : Indigo Plantation : Bookbinder : University</t>
  </si>
  <si>
    <t>Lumberjack : Sawmill : Coal Mine : Iron Mine : Iron Smelter : Cooper : Winery : Winepress</t>
  </si>
  <si>
    <t>Where farm buildings are involved, assume all tiles in range of a farm are used for production.</t>
  </si>
  <si>
    <t>1  Ropery produces 30 Ropes per hour</t>
  </si>
  <si>
    <t>Sails are assumed to be made using Yarn from Sheep Farms (1 Cotton Plantation replaces 2 Sheep Farms).</t>
  </si>
  <si>
    <t>1 Sailmaker consumes 15 Ropes and 30 Yarn and produces 15 Sails per hour</t>
  </si>
  <si>
    <t>Needs 30 x 4-minute cycles (2h). Needs 5 Planks and 5 Ropes per cycle = 75 Planks and 75 Ropes per hour. Exact ratio is 0.25:0.25:2.5:2.5</t>
  </si>
  <si>
    <t>Ship ratios are rounded up numbers needed for continuously producing a ship. See Notes for exact values.</t>
  </si>
  <si>
    <t>Needs 15 x 4-minute cycles (1h). Needs 10 Planks and 3.33 Ropes per cycle = 150 Planks and 50 Ropes per hour. Exact ratio is 0.5:0.5:1.67:1.67</t>
  </si>
  <si>
    <t>Needs 40 x 4-minute cycles (2.67h). Needs 10 Planks and 1.25 Sails per cycle = 150 Planks and 18.75 Sails per hour. Exact ratio is 0.5:0.5:0.625:0.625:1.25:1.25</t>
  </si>
  <si>
    <t>Needs 40 x 4-minute cycles (2.67h). Needs 10 Planks and 3.75 Sails per cycle = 150 Planks and 56.25 Sails per hour. Exact ratio is 0.5:0.5:1.875:1.875:3.75:3.75</t>
  </si>
  <si>
    <t>1 Toolmaker produces 15 Tools per hour</t>
  </si>
  <si>
    <t>1 Steel Furnace produces 15 Steel Ingots per hour</t>
  </si>
  <si>
    <t>1 : 2 : 2 : 10</t>
  </si>
  <si>
    <t>3 : 2 : 1 : 2</t>
  </si>
  <si>
    <t>2 : 1 : 2</t>
  </si>
  <si>
    <t>1 : 1 : 2</t>
  </si>
  <si>
    <t>2 : 4 : 8 : 3 : 12 : 6 : 4</t>
  </si>
  <si>
    <t>1 : 1 : 3 : 3</t>
  </si>
  <si>
    <t>3 : 5</t>
  </si>
  <si>
    <t>2 : 1</t>
  </si>
  <si>
    <t>2 : 2 : 1</t>
  </si>
  <si>
    <t>6 : 4 : 3</t>
  </si>
  <si>
    <t>1 : 1</t>
  </si>
  <si>
    <t>1 : 1 : 2 : 2</t>
  </si>
  <si>
    <t>3 : 2</t>
  </si>
  <si>
    <t>3 : 6 : 3 : 2 : 2</t>
  </si>
  <si>
    <t>1 : 2 : 4 : 4 : 5</t>
  </si>
  <si>
    <t>1 : 4 : 8 : 3 : 8</t>
  </si>
  <si>
    <t>1 : 1 : 1 : 1 : 2 : 2</t>
  </si>
  <si>
    <t>1 : 2 : 1 : 5</t>
  </si>
  <si>
    <t>4 : 3 : 1</t>
  </si>
  <si>
    <t>1 : 1 : 2 : 2 : 4 : 4</t>
  </si>
  <si>
    <t>Miscellaneous notes</t>
  </si>
  <si>
    <t>2 : 2 : 1 : 2 : 4 : 2 : 4 : 3</t>
  </si>
  <si>
    <t>4 : 2 : 1 : 2 : 1</t>
  </si>
  <si>
    <t>1 : 1 : 1 : 6 : 2</t>
  </si>
  <si>
    <t>Rounded. Exact ratio is 1 : 4 : 4 : 24 : 12</t>
  </si>
  <si>
    <t>Rounded. Exact ratio is 16 : 10 : 5 : 10 : 5.</t>
  </si>
  <si>
    <t>Rounded. Exact ratio is 16 : 16 : 5 : 20 : 40 : 20 : 40 : 30.</t>
  </si>
  <si>
    <t>List of optimal ratios of buildings for each production chain. Calculated by hand. Sometimes, a rounded up version is preferred over the exact version.</t>
  </si>
  <si>
    <t>Needs 1 Copper Smelter and 1/4 Lumberjack.</t>
  </si>
  <si>
    <t>2 : 2 : 4 : 4 : 5</t>
  </si>
  <si>
    <t>Costs 1000 Plank, 1000 Tools, 10000 Gold to place. See Paragon Pioneers wiki for information on upgrade steps.</t>
  </si>
  <si>
    <t>For information on building costs and unlock stages, see the Paragon Pioneers wiki on Buildings:</t>
  </si>
  <si>
    <t>https://paragonpioneers.fandom.com/wiki/Buildings</t>
  </si>
  <si>
    <t>Building name. If the building can produce more than one resource (e.g. Shipyards) it is given a unique name for each resource it can make.</t>
  </si>
  <si>
    <t>The first of up to 10 raw material inputs. Some are special cases - e.g. Lumberjacks are treated as occupying 7 land tiles.</t>
  </si>
  <si>
    <r>
      <rPr>
        <b/>
        <sz val="11"/>
        <color theme="1"/>
        <rFont val="Calibri"/>
        <family val="2"/>
        <scheme val="minor"/>
      </rPr>
      <t>15 Knights and 35 Crossbowmen</t>
    </r>
    <r>
      <rPr>
        <sz val="11"/>
        <color theme="1"/>
        <rFont val="Calibri"/>
        <family val="2"/>
        <scheme val="minor"/>
      </rPr>
      <t xml:space="preserve"> will limit your losses to &lt;5 Knights with 100% win rate.</t>
    </r>
  </si>
  <si>
    <r>
      <t xml:space="preserve">Use </t>
    </r>
    <r>
      <rPr>
        <b/>
        <sz val="11"/>
        <color theme="1"/>
        <rFont val="Calibri"/>
        <family val="2"/>
        <scheme val="minor"/>
      </rPr>
      <t>18 Knights and 82 Crossbowmen</t>
    </r>
    <r>
      <rPr>
        <sz val="11"/>
        <color theme="1"/>
        <rFont val="Calibri"/>
        <family val="2"/>
        <scheme val="minor"/>
      </rPr>
      <t xml:space="preserve"> for best results - but anywhere between 18-90 Knights and 82-10 Crossbowmen will work (with higher casualties).</t>
    </r>
  </si>
  <si>
    <r>
      <t xml:space="preserve">Use </t>
    </r>
    <r>
      <rPr>
        <b/>
        <sz val="11"/>
        <color theme="1"/>
        <rFont val="Calibri"/>
        <family val="2"/>
        <scheme val="minor"/>
      </rPr>
      <t>60 Knights and 40 Crossbowmen</t>
    </r>
    <r>
      <rPr>
        <sz val="11"/>
        <color theme="1"/>
        <rFont val="Calibri"/>
        <family val="2"/>
        <scheme val="minor"/>
      </rPr>
      <t xml:space="preserve"> (win rate of 98%+)</t>
    </r>
  </si>
  <si>
    <t>Notes on defeating Orc Bosses</t>
  </si>
  <si>
    <t>Killing Bula (boss 1) with Archers and Footsoldiers:</t>
  </si>
  <si>
    <r>
      <rPr>
        <b/>
        <sz val="11"/>
        <color theme="1"/>
        <rFont val="Calibri"/>
        <family val="2"/>
        <scheme val="minor"/>
      </rPr>
      <t>25 Footsoldiers and 30 Archers</t>
    </r>
    <r>
      <rPr>
        <sz val="11"/>
        <color theme="1"/>
        <rFont val="Calibri"/>
        <family val="2"/>
        <scheme val="minor"/>
      </rPr>
      <t xml:space="preserve"> will limit your losses to ~15 Footsoldiers.</t>
    </r>
  </si>
  <si>
    <t>Killing Bula (boss 1) with Archers and Militia:</t>
  </si>
  <si>
    <r>
      <rPr>
        <b/>
        <sz val="11"/>
        <color theme="1"/>
        <rFont val="Calibri"/>
        <family val="2"/>
        <scheme val="minor"/>
      </rPr>
      <t>60 Militia and 30 Archers</t>
    </r>
    <r>
      <rPr>
        <sz val="11"/>
        <color theme="1"/>
        <rFont val="Calibri"/>
        <family val="2"/>
        <scheme val="minor"/>
      </rPr>
      <t xml:space="preserve"> will limit your losses to ~45 Militia (30-60).</t>
    </r>
  </si>
  <si>
    <t>Island Size Estimates</t>
  </si>
  <si>
    <t>NB: Not all of the land is useable for farming. You need some land for farm buildings and warehouses.</t>
  </si>
  <si>
    <t xml:space="preserve">Island size is capped at 60. Favor increases linearly (+32/size) from size 28 islands. </t>
  </si>
  <si>
    <t>Planks (abundant)</t>
  </si>
  <si>
    <t>Wood (abundant)</t>
  </si>
  <si>
    <t>Tools (needs Iron, Coal)</t>
  </si>
  <si>
    <t xml:space="preserve">This varies depending on how many population level goals you have already unlocked. </t>
  </si>
  <si>
    <t xml:space="preserve">Change the island number and Favor needed to reflect your current game. </t>
  </si>
  <si>
    <t>One way to build out your islands to reach 1000 Paragons.</t>
  </si>
  <si>
    <t>Copper is only used to produce Footsoldiers (but is also useful for making Fireworks for the Palace). Cannoneers and Cuirassiers have their own island.</t>
  </si>
  <si>
    <t>Use this island to produce Steel Ingots (and Fireworks if you add Copper) for the Palace.</t>
  </si>
  <si>
    <t>Iron and Coal are needed for tier 3 and tier 4 ships, or you can import these goods.</t>
  </si>
  <si>
    <t>Paragon Palace Island</t>
  </si>
  <si>
    <t>Linseed, Dye</t>
  </si>
  <si>
    <t>24+</t>
  </si>
  <si>
    <t>You can use your starting island instead of a new island but you won't have Dye or Marble. Dye is needed if you want to produce books on the starting island (consumed by University), otherwise you will need to produce these elsewhere. You need space for a large number of warehouses (you need at least 4000 capacity to build the Palace). You may want to put Merchants on a separate island to control gold production more closely (but then you will need to supply both islands with goods).</t>
  </si>
  <si>
    <t>Linseed Central (Linen, Medical Care) + (Tools/Marble/Bricks)</t>
  </si>
  <si>
    <t>Meat production requires a lot of space + coastline for Salterns. Rock Salt saves space but Salterns can easily provide all your salt needs.</t>
  </si>
  <si>
    <t>Island size here is only a suggestion - bigger is usually better if you can afford to conquer it.</t>
  </si>
  <si>
    <t xml:space="preserve">You can mix and match your goods production combinations in different ways. In general, pairing land-based with mountain-based goods works well. </t>
  </si>
  <si>
    <t>Two sizes up</t>
  </si>
  <si>
    <t>Next size up</t>
  </si>
  <si>
    <t>Estimated Land Area on next size up</t>
  </si>
  <si>
    <t>Estimated Land Area on two sizes up</t>
  </si>
  <si>
    <t>% occupancy of two sizes up</t>
  </si>
  <si>
    <t>Division of needs into land, mountain, or both</t>
  </si>
  <si>
    <t>Steel Ingots (for Palace)</t>
  </si>
  <si>
    <t>Fireworks (for Palace)</t>
  </si>
  <si>
    <t>Island Model Templates</t>
  </si>
  <si>
    <t xml:space="preserve">Spec for producing tier 3 and 4 ships on one self-sufficient island. Island requires Iron Ore, Linseed, Cotton. </t>
  </si>
  <si>
    <t>For Tier 4 ships, gold production is likely to be the limiting factor.</t>
  </si>
  <si>
    <t>Spec for producing Footsoldiers, Archers, Longbow Archers, Cavalry, Knights and Crossbowmen</t>
  </si>
  <si>
    <t>Cog/Caravel</t>
  </si>
  <si>
    <t>Schooner/Windjammer</t>
  </si>
  <si>
    <t>plus Galleon/Clipper</t>
  </si>
  <si>
    <t>Target Quantity</t>
  </si>
  <si>
    <t>How many you want to build up to (ignored by model)</t>
  </si>
  <si>
    <t>% to target</t>
  </si>
  <si>
    <t>Hulk/Pinnace</t>
  </si>
  <si>
    <t>Target quantity is the same as Quantity, except for goods required for the 1000 Paragons model, where it's the amounts required in that model. Feel free to change the numbers.</t>
  </si>
  <si>
    <t xml:space="preserve">You can paste these values directly into the island model input columns (from row 24 onwards) to set it up for production chains of specific goods. </t>
  </si>
  <si>
    <t>Spec for producing Cannoneers and Cuirassiers</t>
  </si>
  <si>
    <t>Amount required based on 1000 Paragons model</t>
  </si>
  <si>
    <t>% progression to 1000 Paragons model</t>
  </si>
  <si>
    <t>% to Production Target</t>
  </si>
  <si>
    <t>Ignore shipping needs?</t>
  </si>
  <si>
    <t>Set this to Yes if iyou don't need this good to be shipped to your Paragon island</t>
  </si>
  <si>
    <t>You can use this column to note if you have assigned enough ships.</t>
  </si>
  <si>
    <t>Enough Ships?</t>
  </si>
  <si>
    <t>If you only want to support 12 Merchant's Mansions and 34 Paragon's Residences, you can use these lower production targets:</t>
  </si>
  <si>
    <t>450 instead of 1080</t>
  </si>
  <si>
    <t>72 instead of 120</t>
  </si>
  <si>
    <t>198 instead of 240</t>
  </si>
  <si>
    <t>775 instead of 1440 (375 to make Liqueur)</t>
  </si>
  <si>
    <t xml:space="preserve">Make multiple copies of this tab if you need to model multiple islands. </t>
  </si>
  <si>
    <t>Cannoneer Island</t>
  </si>
  <si>
    <t>Sheep Farm + Weaver</t>
  </si>
  <si>
    <t>0 instead of 135</t>
  </si>
  <si>
    <t>660 instead of 720 (660 needed to make Clothes)</t>
  </si>
  <si>
    <t>Sheep Farm + Textile Mill</t>
  </si>
  <si>
    <t>12 : 4 : 3</t>
  </si>
  <si>
    <t>3 : 1</t>
  </si>
  <si>
    <t>1 Textile Mill consumes 90 Yarn and produces 45 Fabric</t>
  </si>
  <si>
    <t>1 Weaver consumes 60 Yarn and produces 30 Fabric</t>
  </si>
  <si>
    <t>Noble Tailor</t>
  </si>
  <si>
    <t>Tailor</t>
  </si>
  <si>
    <t xml:space="preserve">Needs 4/3 of a Weaving. 4 Weavings can support 3 Tailors. </t>
  </si>
  <si>
    <t>Sheep Farm : Weaver : Tailor</t>
  </si>
  <si>
    <t>Sheep Farm : Textile Mill : Tailor</t>
  </si>
  <si>
    <t>Cotton Plantation : Weaver : Tailor</t>
  </si>
  <si>
    <t>Cotton Plantation : Textile Mill : Tailor</t>
  </si>
  <si>
    <t>Silk Plantation : Silk Twine Mill : Indigo Plantation : Noble Tailor</t>
  </si>
  <si>
    <t>1 Tailor consumes 60 Fabric and produces 15 Clothes</t>
  </si>
  <si>
    <t>4 : 2 : 1</t>
  </si>
  <si>
    <t>Each Textile Mill saves you 1/2 of a land tile compared to Weavers (instead of building 3 Weavers you can build 2 Textile Mills).</t>
  </si>
  <si>
    <t>Cotton Plantation + Weaver</t>
  </si>
  <si>
    <t>Cotton Plantation + Textile Mill</t>
  </si>
  <si>
    <t>Charcoal Kiln</t>
  </si>
  <si>
    <t>Needs 1 Rock Salt Mine and 1/4 Coal Mine (or 1/2 Charcoal Kiln)</t>
  </si>
  <si>
    <t>Needs 1 Charcoal Kiln (or 0.5 Coal Mine) and 1/2 Clay Pit.</t>
  </si>
  <si>
    <t>Needs 1/2 Gold Mine and 1/8 Coal Mine (or 1/4 Charcoal Kiln).</t>
  </si>
  <si>
    <t>Needs 1 Gold Smelter and 1/8 Coal Mine (or 1/4 Charcoal Kiln).</t>
  </si>
  <si>
    <t>Needs 1 Iron Smelter and 1/8 Coal Mine (or 1/4 Charcoal Kiln).</t>
  </si>
  <si>
    <t>Needs 1/2 Iron Mine and 1/8 Coal Mine (or 1/4 Charcoal Kiln).</t>
  </si>
  <si>
    <t>Lumberjack : Charcoal Kiln</t>
  </si>
  <si>
    <t xml:space="preserve">1 Coal Mine replaces 2 Charcoal Kilns. </t>
  </si>
  <si>
    <t>Where coal is needed, the ratio is for a production chain that uses coal only. 1 Coal Mine replaces 2 Charcoal Kilns and each Charcoal Kiln needs 1 Lumberjack.</t>
  </si>
  <si>
    <t>Coal (Charcoal Kiln)</t>
  </si>
  <si>
    <t>Either</t>
  </si>
  <si>
    <t>45 Fabric/hour needed if you want to supply luxuries to 10 Townsmen's Houses, otherwise not required.</t>
  </si>
  <si>
    <t xml:space="preserve">Navigate to each section using column B. </t>
  </si>
  <si>
    <t>Fixed amount of 1000 needed to complete the Palace.</t>
  </si>
  <si>
    <t>Beehive (standalone)</t>
  </si>
  <si>
    <t>Cotton Field (standalone)</t>
  </si>
  <si>
    <t>Hop Field (standalone)</t>
  </si>
  <si>
    <t>Horse Breeder</t>
  </si>
  <si>
    <t>Indigo Field (standalone)</t>
  </si>
  <si>
    <t>Linseed Field (standalone)</t>
  </si>
  <si>
    <t>Mulberry Trees (standalone)</t>
  </si>
  <si>
    <t>Potato Field (standalone)</t>
  </si>
  <si>
    <t>3 Horse Breeders can support 5 Riding Arenas</t>
  </si>
  <si>
    <t>Tobacco Field (standalone)</t>
  </si>
  <si>
    <t>Vineyard (standalone)</t>
  </si>
  <si>
    <t>Wheat Field (standalone)</t>
  </si>
  <si>
    <t>Needs 2 Horse Breeders</t>
  </si>
  <si>
    <t>Needs 1 Linseed farm</t>
  </si>
  <si>
    <t>Produces twice as much Yarn as Sheep Farms.</t>
  </si>
  <si>
    <t>Needs 1 Coal Mine (or 2 Lumberjacks + 2 Charcoal Kilns)</t>
  </si>
  <si>
    <t>Sheep Field</t>
  </si>
  <si>
    <t>Can't be built directly, but expands into empty land tiles when the Sheep Farm is built.</t>
  </si>
  <si>
    <t>Can't be built directly, but expands into empty land tiles when the Horse Breeder is built.</t>
  </si>
  <si>
    <t>Produces twice as much Coal as a Charcoal Kiln - can replace 2 Lumberjacks and 2 Charcoal Kilns.</t>
  </si>
  <si>
    <t>Needs 1 Steel Furnace and 1.5 Horse Breeders.</t>
  </si>
  <si>
    <t>Horse Breeder : Riding Arena</t>
  </si>
  <si>
    <t>Horse Breeder : Tiltyard</t>
  </si>
  <si>
    <t>Small Shipyard (producing Caravel)</t>
  </si>
  <si>
    <t>Small Shipyard (producing Cog)</t>
  </si>
  <si>
    <t>1 : 2 : 4 : 4</t>
  </si>
  <si>
    <t>Using Salt Works</t>
  </si>
  <si>
    <t>Using Saltern only</t>
  </si>
  <si>
    <t>Medical Care (Medicus)</t>
  </si>
  <si>
    <t xml:space="preserve">Two Medicus needed for 1000 Paragons + 1 for 600 Merchants. </t>
  </si>
  <si>
    <t>Target quantity is arbitrary (you will produce lots of Tools during the game).</t>
  </si>
  <si>
    <t>Coal Mine : Iron Mine : Iron Smelter : Toolmaker</t>
  </si>
  <si>
    <t>1 : 1 : 1 : 1 : 2 : 2 : 4 : 3 : 6 : 3 : 3</t>
  </si>
  <si>
    <t>Lumberjack : Sawmill : Linseed Farm : Ropery : Sheep Farm : Sailmaker: Coal Mine : Iron Mine : Iron Smelter : Cokery : Steel Furnace</t>
  </si>
  <si>
    <t>Needs 300 x 4-minute cycles (20h). Needs 10 Planks, 2 Sails and 0.67 Steel Ingots per cycle = 150 Planks, 30 Sails and 10 Steel Ingots per hour. Exact ratio is 0.5:0.5:1:1:2:2:3.33:2.67:5.33:2.67:2.67</t>
  </si>
  <si>
    <t>Coal Mine : Clay Pit : Brickyard</t>
  </si>
  <si>
    <t>Coal Mine : Iron Mine : Iron Smelter : Cokery : Steel Furnace : Nitrate Maker : Powder Mill : Cannon Foundry : Cannoneer's School</t>
  </si>
  <si>
    <t>2 : 1 : 2 : 1 : 1 : 1 : 1 : 2 : 2</t>
  </si>
  <si>
    <t>Coal Mine supplies the Iron Smelter, Cokery and Steel Furnace. Rounded. Exact ratio is 7 : 4 : 8 : 4 : 4 : 4 : 4 : 8 : 10</t>
  </si>
  <si>
    <t>1 : 1 : 3 : 3 : 5 : 5 : 1 : 1 : 2 : 2</t>
  </si>
  <si>
    <t>Lumberjack : Sawmill : Linseed Farm : Ropery : Sheep Farm : Sailmaker: Coal Mine : Iron Mine : Iron Smelter : Toolmaker</t>
  </si>
  <si>
    <t>Needs 120 x 4-minute cycles (8h). Needs 8.33 Planks, 5 Sails and 1.67 Tools per cycle = 125 Planks, 75 Sails and 25 Tools per hour. Exact ratio is 0.417:0.417:2.5:2.5:5:5:0.417:0.83:1.67:1.67</t>
  </si>
  <si>
    <t>Coal Mine : Iron Mine : Iron Smelter : Linseed Farm : Crossbow Maker : Crossbow Shooting Range</t>
  </si>
  <si>
    <t>1 : 4 : 8 : 4 : 4 : 10</t>
  </si>
  <si>
    <t>4 : 3 : 5 : 3 : 3 : 4 : 3 : 1</t>
  </si>
  <si>
    <t>Coal Mine : Iron Mine : Iron Smelter : Cokery : Steel Furnace : Horse Breeder : Armorsmith : Cuirassier Academy</t>
  </si>
  <si>
    <t>Rounded. Exact ratio is 25 : 20 : 40 : 20 : 20 : 30 : 20 : 8</t>
  </si>
  <si>
    <t>Coal Mine : Nitrate Maker : Powder Mill : Lumberjack : Copper Mine : Copper Smelter : Iron Mine : Iron Smelter : Planing Mill : Gunsmith</t>
  </si>
  <si>
    <t>Rounded. Exact ratio is 5 : 8 : 8 : 2 : 4 : 8 : 4 : 8 : 4 : 4</t>
  </si>
  <si>
    <t>2 : 2 : 2 : 1 : 1 : 2 : 1 : 2 : 1 : 1</t>
  </si>
  <si>
    <t>1 : 1 : 1 : 1 : 2 : 2 : 2 : 4 : 8 : 8</t>
  </si>
  <si>
    <t>Needs 100 x 4-minute cycles (6.67h). Needs 10 Planks, 2 Sails and 2 Tools per cycle = 150 Planks, 30 Sails and 30 Tools per hour. Exact ratio is 0.5:0.5:1:1:2:2:2:4:8:8</t>
  </si>
  <si>
    <t>1 : 1 : 3 : 3 : 5 : 5 : 3 : 3 : 5 : 3 : 3</t>
  </si>
  <si>
    <t>Needs 360 x 4-minute cycles (24h). Needs 8.33 Planks, 5 Sails and 0.55 Steel Ingots per cycle = 125 Planks, 75 Sails and 8.33 Steel Ingots per hour. Exact ratio is 0.25:0.25:2.5:2.5:5:5:2.78:2.22:4.44:2.22:2.22</t>
  </si>
  <si>
    <t>Coal Mine : Iron Mine : Iron Smelter : Cokery : Steel Furnace</t>
  </si>
  <si>
    <t>5 : 4 : 8 : 4 : 4</t>
  </si>
  <si>
    <t>Target quantity is arbitrary (you will need to produce at least 4000 Steel Ingots to build the Palace).</t>
  </si>
  <si>
    <t>Select a ship type above to see how many of that ship you need to move all the produced goods</t>
  </si>
  <si>
    <t>Shipping needs (User defined 1)</t>
  </si>
  <si>
    <t>Shipping needs (User defined 2)</t>
  </si>
  <si>
    <t>Shipping needs (User defined 3)</t>
  </si>
  <si>
    <t>Type of ships you want to use for moving goods:</t>
  </si>
  <si>
    <t>Flexible spec to build the Palace while supporting 1000 Paragons, 100 Pioneers, 150 Colonists, 200 Townsmen and 600 Merchants.</t>
  </si>
  <si>
    <t>BH</t>
  </si>
  <si>
    <t>MD</t>
  </si>
  <si>
    <t>SC</t>
  </si>
  <si>
    <t>TY</t>
  </si>
  <si>
    <t>CH</t>
  </si>
  <si>
    <t>UNI</t>
  </si>
  <si>
    <t>Residences per Medicus</t>
  </si>
  <si>
    <t>Maximum Paragon Residences</t>
  </si>
  <si>
    <t>The 7x6</t>
  </si>
  <si>
    <t>The 8x6</t>
  </si>
  <si>
    <t>The compact box (8x5)+</t>
  </si>
  <si>
    <t>The less compact box (9x5)+</t>
  </si>
  <si>
    <t>tiling</t>
  </si>
  <si>
    <t>Horizontal Plank</t>
  </si>
  <si>
    <t>Vertical Plank (9x5)+</t>
  </si>
  <si>
    <t>The L (8x8)+</t>
  </si>
  <si>
    <t>The square spiral (8x8)+</t>
  </si>
  <si>
    <t>Paragon's residence</t>
  </si>
  <si>
    <t>Building Patterns</t>
  </si>
  <si>
    <t>Areas covered by buildings</t>
  </si>
  <si>
    <t xml:space="preserve">Military Island, Ship Island and Cannoneer Island templates are provided first, followed by other goods in alphabetical order. </t>
  </si>
  <si>
    <t>Production Ratios</t>
  </si>
  <si>
    <t>Killing Aguk (boss 2) with Footsoldiers and Longbowmen:</t>
  </si>
  <si>
    <r>
      <rPr>
        <b/>
        <sz val="11"/>
        <color theme="1"/>
        <rFont val="Calibri"/>
        <family val="2"/>
        <scheme val="minor"/>
      </rPr>
      <t>50 Footsoldiers and 50 Longbowmen</t>
    </r>
    <r>
      <rPr>
        <sz val="11"/>
        <color theme="1"/>
        <rFont val="Calibri"/>
        <family val="2"/>
        <scheme val="minor"/>
      </rPr>
      <t xml:space="preserve"> will limit your losses to &lt;45 Footsoldiers with 100% win rate.</t>
    </r>
  </si>
  <si>
    <t>Blue Pearl</t>
  </si>
  <si>
    <t>No</t>
  </si>
  <si>
    <t>Speed (adjusted)</t>
  </si>
  <si>
    <t>Takes into account effect of Navigator custodian</t>
  </si>
  <si>
    <t>Navigator custodian selected (double ship speed)?</t>
  </si>
  <si>
    <t>Smuggler custodian selected (double cargo space)?</t>
  </si>
  <si>
    <t>Slot Size (adjusted)</t>
  </si>
  <si>
    <t>v2.01</t>
  </si>
  <si>
    <t>2 : 1 : 1 : 2</t>
  </si>
  <si>
    <t>v3.05</t>
  </si>
  <si>
    <t>Needs 1/3 Salt Works (or 2 Salterns) and 2 Cattle Breeding.</t>
  </si>
  <si>
    <t>v2.02</t>
  </si>
  <si>
    <t>MerchantBox 24</t>
  </si>
  <si>
    <t>Maximum Merchant Residences</t>
  </si>
  <si>
    <t>TA</t>
  </si>
  <si>
    <t>MerchantBox 23 "Two Schools"</t>
  </si>
  <si>
    <t>MerchantBox 22 "One Bathhouse"</t>
  </si>
  <si>
    <t>MerchantBox 21 "Two Taverns"</t>
  </si>
  <si>
    <t>MerchantBox 19 "Compacted"</t>
  </si>
  <si>
    <t>For tiled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</si>
</sst>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0;0;;@"/>
    <numFmt numFmtId="165" formatCode="0.0%"/>
    <numFmt numFmtId="166" formatCode="0;0;;@\ "/>
    <numFmt numFmtId="167" formatCode="0;\-0;;@"/>
    <numFmt numFmtId="168" formatCode="0.00;\-0.00;;@"/>
    <numFmt numFmtId="169" formatCode="0.0;\-0.0;;@"/>
    <numFmt numFmtId="170" formatCode="0.0"/>
    <numFmt numFmtId="171" formatCode="0.000"/>
    <numFmt numFmtId="172" formatCode="0.00000000"/>
    <numFmt numFmtId="173" formatCode="0.0000"/>
    <numFmt numFmtId="174" formatCode="0.000000"/>
    <numFmt numFmtId="175" formatCode="0%;\-0%;;@"/>
  </numFmts>
  <fonts count="38"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1"/>
      <color theme="3"/>
      <name val="Calibri"/>
      <family val="2"/>
      <scheme val="minor"/>
    </font>
    <font>
      <sz val="11"/>
      <color rgb="FF0061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b/>
      <sz val="16"/>
      <color theme="1"/>
      <name val="Calibri"/>
      <family val="2"/>
      <scheme val="minor"/>
    </font>
    <font>
      <b/>
      <sz val="12"/>
      <color rgb="FF3F3F3F"/>
      <name val="Calibri"/>
      <family val="2"/>
      <scheme val="minor"/>
    </font>
    <font>
      <b/>
      <sz val="16"/>
      <color rgb="FF3F3F3F"/>
      <name val="Calibri"/>
      <family val="2"/>
      <scheme val="minor"/>
    </font>
    <font>
      <i/>
      <sz val="9"/>
      <color rgb="FF7F7F7F"/>
      <name val="Calibri"/>
      <family val="2"/>
      <scheme val="minor"/>
    </font>
    <font>
      <i/>
      <sz val="8"/>
      <color rgb="FF7F7F7F"/>
      <name val="Calibri"/>
      <family val="2"/>
      <scheme val="minor"/>
    </font>
    <font>
      <b/>
      <sz val="12"/>
      <color rgb="FF3F3F76"/>
      <name val="Calibri"/>
      <family val="2"/>
      <scheme val="minor"/>
    </font>
    <font>
      <b/>
      <sz val="16"/>
      <color rgb="FF3F3F76"/>
      <name val="Calibri"/>
      <family val="2"/>
      <scheme val="minor"/>
    </font>
    <font>
      <sz val="11"/>
      <color theme="0" tint="-0.249977111117893"/>
      <name val="Calibri"/>
      <family val="2"/>
      <scheme val="minor"/>
    </font>
    <font>
      <sz val="8"/>
      <name val="Calibri"/>
      <family val="2"/>
      <scheme val="minor"/>
    </font>
    <font>
      <u/>
      <sz val="11"/>
      <color theme="10"/>
      <name val="Calibri"/>
      <family val="2"/>
      <scheme val="minor"/>
    </font>
    <font>
      <b/>
      <sz val="11"/>
      <color rgb="FFFF0000"/>
      <name val="Calibri"/>
      <family val="2"/>
      <scheme val="minor"/>
    </font>
    <font>
      <b/>
      <sz val="13"/>
      <color theme="3"/>
      <name val="Calibri"/>
      <family val="2"/>
      <scheme val="minor"/>
    </font>
    <font>
      <b/>
      <sz val="16"/>
      <color rgb="FFFA7D00"/>
      <name val="Calibri"/>
      <family val="2"/>
      <scheme val="minor"/>
    </font>
    <font>
      <b/>
      <sz val="11"/>
      <name val="Calibri"/>
      <family val="2"/>
      <scheme val="minor"/>
    </font>
    <font>
      <sz val="14"/>
      <color theme="1"/>
      <name val="Calibri"/>
      <family val="2"/>
      <scheme val="minor"/>
    </font>
    <font>
      <b/>
      <sz val="11"/>
      <color theme="1"/>
      <name val="Calibri"/>
      <family val="2"/>
      <scheme val="minor"/>
    </font>
    <font>
      <b/>
      <sz val="11"/>
      <color rgb="FF006100"/>
      <name val="Calibri"/>
      <family val="2"/>
      <scheme val="minor"/>
    </font>
    <font>
      <sz val="8"/>
      <color theme="1"/>
      <name val="Calibri"/>
      <family val="2"/>
      <scheme val="minor"/>
    </font>
    <font>
      <b/>
      <sz val="12"/>
      <color rgb="FFFA7D00"/>
      <name val="Calibri"/>
      <family val="2"/>
      <scheme val="minor"/>
    </font>
    <font>
      <b/>
      <sz val="14"/>
      <color rgb="FFFA7D00"/>
      <name val="Calibri"/>
      <family val="2"/>
      <scheme val="minor"/>
    </font>
    <font>
      <b/>
      <sz val="18"/>
      <color rgb="FF3F3F76"/>
      <name val="Calibri"/>
      <family val="2"/>
      <scheme val="minor"/>
    </font>
    <font>
      <b/>
      <sz val="18"/>
      <color rgb="FFFA7D00"/>
      <name val="Calibri"/>
      <family val="2"/>
      <scheme val="minor"/>
    </font>
    <font>
      <b/>
      <sz val="14"/>
      <color rgb="FF3F3F3F"/>
      <name val="Calibri"/>
      <family val="2"/>
      <scheme val="minor"/>
    </font>
    <font>
      <b/>
      <sz val="14"/>
      <color rgb="FF3F3F76"/>
      <name val="Calibri"/>
      <family val="2"/>
      <scheme val="minor"/>
    </font>
    <font>
      <b/>
      <sz val="11"/>
      <color rgb="FF3F3F76"/>
      <name val="Calibri"/>
      <family val="2"/>
      <scheme val="minor"/>
    </font>
    <font>
      <b/>
      <sz val="14"/>
      <color rgb="FF006100"/>
      <name val="Calibri"/>
      <family val="2"/>
      <scheme val="minor"/>
    </font>
    <font>
      <sz val="8"/>
      <color rgb="FFFF0000"/>
      <name val="Calibri"/>
      <family val="2"/>
      <scheme val="minor"/>
    </font>
  </fonts>
  <fills count="18">
    <fill>
      <patternFill patternType="none"/>
    </fill>
    <fill>
      <patternFill patternType="gray125"/>
    </fill>
    <fill>
      <patternFill patternType="solid">
        <fgColor rgb="FFC6EFCE"/>
      </patternFill>
    </fill>
    <fill>
      <patternFill patternType="solid">
        <fgColor rgb="FFFFCC99"/>
      </patternFill>
    </fill>
    <fill>
      <patternFill patternType="solid">
        <fgColor rgb="FFF2F2F2"/>
      </patternFill>
    </fill>
    <fill>
      <patternFill patternType="solid">
        <fgColor theme="5"/>
        <bgColor theme="5"/>
      </patternFill>
    </fill>
    <fill>
      <patternFill patternType="solid">
        <fgColor rgb="FFFFCC99"/>
        <bgColor indexed="64"/>
      </patternFill>
    </fill>
    <fill>
      <patternFill patternType="solid">
        <fgColor rgb="FFF2F2F2"/>
        <bgColor indexed="64"/>
      </patternFill>
    </fill>
    <fill>
      <patternFill patternType="solid">
        <fgColor rgb="FFFFFFCC"/>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rgb="FFFFC000"/>
        <bgColor indexed="64"/>
      </patternFill>
    </fill>
  </fills>
  <borders count="59">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style="thin">
        <color theme="1"/>
      </top>
      <bottom/>
      <diagonal/>
    </border>
    <border>
      <left style="medium">
        <color indexed="64"/>
      </left>
      <right style="medium">
        <color indexed="64"/>
      </right>
      <top style="medium">
        <color indexed="64"/>
      </top>
      <bottom style="medium">
        <color indexed="64"/>
      </bottom>
      <diagonal/>
    </border>
    <border>
      <left/>
      <right/>
      <top style="thin">
        <color theme="6"/>
      </top>
      <bottom/>
      <diagonal/>
    </border>
    <border>
      <left style="thin">
        <color theme="5"/>
      </left>
      <right/>
      <top/>
      <bottom/>
      <diagonal/>
    </border>
    <border>
      <left/>
      <right style="thin">
        <color theme="5"/>
      </right>
      <top/>
      <bottom/>
      <diagonal/>
    </border>
    <border>
      <left style="thin">
        <color theme="6"/>
      </left>
      <right/>
      <top style="thin">
        <color theme="6"/>
      </top>
      <bottom/>
      <diagonal/>
    </border>
    <border>
      <left style="thin">
        <color rgb="FF7F7F7F"/>
      </left>
      <right style="thin">
        <color rgb="FF7F7F7F"/>
      </right>
      <top style="thin">
        <color rgb="FF7F7F7F"/>
      </top>
      <bottom/>
      <diagonal/>
    </border>
    <border>
      <left style="thin">
        <color rgb="FF7F7F7F"/>
      </left>
      <right style="thin">
        <color rgb="FF3F3F3F"/>
      </right>
      <top style="thin">
        <color rgb="FF7F7F7F"/>
      </top>
      <bottom style="thin">
        <color rgb="FF7F7F7F"/>
      </bottom>
      <diagonal/>
    </border>
    <border>
      <left/>
      <right style="thin">
        <color rgb="FF3F3F3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style="thin">
        <color rgb="FF7F7F7F"/>
      </right>
      <top/>
      <bottom/>
      <diagonal/>
    </border>
    <border>
      <left style="thin">
        <color rgb="FF3F3F3F"/>
      </left>
      <right/>
      <top/>
      <bottom/>
      <diagonal/>
    </border>
    <border>
      <left style="thin">
        <color rgb="FF3F3F3F"/>
      </left>
      <right style="thin">
        <color rgb="FF7F7F7F"/>
      </right>
      <top style="thin">
        <color rgb="FF7F7F7F"/>
      </top>
      <bottom style="thin">
        <color rgb="FF7F7F7F"/>
      </bottom>
      <diagonal/>
    </border>
    <border>
      <left style="thin">
        <color rgb="FF3F3F3F"/>
      </left>
      <right style="thin">
        <color rgb="FF7F7F7F"/>
      </right>
      <top style="thin">
        <color rgb="FF3F3F3F"/>
      </top>
      <bottom style="thin">
        <color rgb="FF3F3F3F"/>
      </bottom>
      <diagonal/>
    </border>
    <border>
      <left style="thin">
        <color rgb="FFB2B2B2"/>
      </left>
      <right style="thin">
        <color rgb="FFB2B2B2"/>
      </right>
      <top/>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style="medium">
        <color indexed="64"/>
      </left>
      <right style="thin">
        <color rgb="FF7F7F7F"/>
      </right>
      <top style="medium">
        <color indexed="64"/>
      </top>
      <bottom style="thin">
        <color rgb="FF7F7F7F"/>
      </bottom>
      <diagonal/>
    </border>
    <border>
      <left style="thin">
        <color rgb="FF7F7F7F"/>
      </left>
      <right style="thin">
        <color rgb="FF7F7F7F"/>
      </right>
      <top style="medium">
        <color indexed="64"/>
      </top>
      <bottom style="thin">
        <color rgb="FF7F7F7F"/>
      </bottom>
      <diagonal/>
    </border>
    <border>
      <left/>
      <right style="thin">
        <color rgb="FF3F3F3F"/>
      </right>
      <top style="medium">
        <color indexed="64"/>
      </top>
      <bottom style="thin">
        <color rgb="FF7F7F7F"/>
      </bottom>
      <diagonal/>
    </border>
    <border>
      <left style="thin">
        <color rgb="FF7F7F7F"/>
      </left>
      <right style="thin">
        <color rgb="FF3F3F3F"/>
      </right>
      <top style="medium">
        <color indexed="64"/>
      </top>
      <bottom style="thin">
        <color rgb="FF7F7F7F"/>
      </bottom>
      <diagonal/>
    </border>
    <border>
      <left style="thin">
        <color rgb="FF3F3F3F"/>
      </left>
      <right style="thin">
        <color rgb="FF3F3F3F"/>
      </right>
      <top style="medium">
        <color indexed="64"/>
      </top>
      <bottom style="thin">
        <color rgb="FF3F3F3F"/>
      </bottom>
      <diagonal/>
    </border>
    <border>
      <left style="thin">
        <color rgb="FF7F7F7F"/>
      </left>
      <right style="medium">
        <color indexed="64"/>
      </right>
      <top style="medium">
        <color indexed="64"/>
      </top>
      <bottom style="thin">
        <color rgb="FF7F7F7F"/>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right style="thin">
        <color rgb="FF3F3F3F"/>
      </right>
      <top style="thin">
        <color rgb="FF7F7F7F"/>
      </top>
      <bottom style="medium">
        <color indexed="64"/>
      </bottom>
      <diagonal/>
    </border>
    <border>
      <left style="thin">
        <color rgb="FF7F7F7F"/>
      </left>
      <right style="thin">
        <color rgb="FF3F3F3F"/>
      </right>
      <top style="thin">
        <color rgb="FF7F7F7F"/>
      </top>
      <bottom style="medium">
        <color indexed="64"/>
      </bottom>
      <diagonal/>
    </border>
    <border>
      <left style="thin">
        <color rgb="FF3F3F3F"/>
      </left>
      <right style="thin">
        <color rgb="FF3F3F3F"/>
      </right>
      <top style="thin">
        <color rgb="FF3F3F3F"/>
      </top>
      <bottom style="medium">
        <color indexed="64"/>
      </bottom>
      <diagonal/>
    </border>
    <border>
      <left style="thin">
        <color rgb="FF7F7F7F"/>
      </left>
      <right style="medium">
        <color indexed="64"/>
      </right>
      <top style="thin">
        <color rgb="FF7F7F7F"/>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thin">
        <color indexed="64"/>
      </right>
      <top/>
      <bottom style="thin">
        <color indexed="64"/>
      </bottom>
      <diagonal/>
    </border>
    <border>
      <left/>
      <right style="medium">
        <color indexed="64"/>
      </right>
      <top/>
      <bottom/>
      <diagonal/>
    </border>
    <border>
      <left style="medium">
        <color indexed="64"/>
      </left>
      <right/>
      <top/>
      <bottom/>
      <diagonal/>
    </border>
    <border>
      <left style="thin">
        <color indexed="64"/>
      </left>
      <right/>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style="medium">
        <color indexed="64"/>
      </bottom>
      <diagonal/>
    </border>
    <border>
      <left style="thin">
        <color rgb="FF7F7F7F"/>
      </left>
      <right style="thin">
        <color rgb="FF3F3F3F"/>
      </right>
      <top style="thin">
        <color theme="6"/>
      </top>
      <bottom/>
      <diagonal/>
    </border>
  </borders>
  <cellStyleXfs count="13">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2" applyNumberFormat="0" applyAlignment="0" applyProtection="0"/>
    <xf numFmtId="0" fontId="7" fillId="4" borderId="3" applyNumberFormat="0" applyAlignment="0" applyProtection="0"/>
    <xf numFmtId="0" fontId="8" fillId="4" borderId="2" applyNumberFormat="0" applyAlignment="0" applyProtection="0"/>
    <xf numFmtId="0" fontId="10" fillId="0" borderId="0" applyNumberFormat="0" applyFill="0" applyBorder="0" applyAlignment="0" applyProtection="0"/>
    <xf numFmtId="0" fontId="20" fillId="0" borderId="0" applyNumberFormat="0" applyFill="0" applyBorder="0" applyAlignment="0" applyProtection="0"/>
    <xf numFmtId="0" fontId="1" fillId="8" borderId="13" applyNumberFormat="0" applyFont="0" applyAlignment="0" applyProtection="0"/>
    <xf numFmtId="0" fontId="22" fillId="0" borderId="19" applyNumberFormat="0" applyFill="0" applyAlignment="0" applyProtection="0"/>
  </cellStyleXfs>
  <cellXfs count="350">
    <xf numFmtId="0" fontId="0" fillId="0" borderId="0" xfId="0"/>
    <xf numFmtId="0" fontId="2" fillId="0" borderId="0" xfId="2"/>
    <xf numFmtId="0" fontId="0" fillId="0" borderId="4" xfId="0" applyFont="1" applyBorder="1"/>
    <xf numFmtId="9" fontId="0" fillId="0" borderId="0" xfId="0" applyNumberFormat="1"/>
    <xf numFmtId="2" fontId="0" fillId="0" borderId="0" xfId="0" applyNumberFormat="1"/>
    <xf numFmtId="0" fontId="4" fillId="0" borderId="0" xfId="4"/>
    <xf numFmtId="0" fontId="3" fillId="0" borderId="1" xfId="3"/>
    <xf numFmtId="0" fontId="10" fillId="0" borderId="0" xfId="9" applyAlignment="1">
      <alignment horizontal="right"/>
    </xf>
    <xf numFmtId="0" fontId="0" fillId="0" borderId="0" xfId="0" applyAlignment="1">
      <alignment wrapText="1"/>
    </xf>
    <xf numFmtId="2" fontId="0" fillId="0" borderId="0" xfId="0" applyNumberFormat="1" applyAlignment="1">
      <alignment wrapText="1"/>
    </xf>
    <xf numFmtId="0" fontId="0" fillId="0" borderId="6" xfId="0" applyFont="1" applyBorder="1"/>
    <xf numFmtId="0" fontId="0" fillId="0" borderId="0" xfId="0" applyNumberFormat="1"/>
    <xf numFmtId="9" fontId="0" fillId="0" borderId="4" xfId="0" applyNumberFormat="1" applyFont="1" applyBorder="1"/>
    <xf numFmtId="0" fontId="10" fillId="0" borderId="0" xfId="9"/>
    <xf numFmtId="0" fontId="13" fillId="4" borderId="3" xfId="7" applyFont="1"/>
    <xf numFmtId="0" fontId="10" fillId="0" borderId="0" xfId="9" applyAlignment="1">
      <alignment wrapText="1"/>
    </xf>
    <xf numFmtId="0" fontId="14" fillId="0" borderId="0" xfId="9" applyFont="1" applyAlignment="1">
      <alignment wrapText="1"/>
    </xf>
    <xf numFmtId="0" fontId="15" fillId="0" borderId="0" xfId="9" applyFont="1" applyAlignment="1">
      <alignment wrapText="1"/>
    </xf>
    <xf numFmtId="0" fontId="6" fillId="3" borderId="2" xfId="6"/>
    <xf numFmtId="164" fontId="17" fillId="3" borderId="2" xfId="6" applyNumberFormat="1" applyFont="1" applyFill="1" applyBorder="1" applyAlignment="1">
      <alignment horizontal="center" vertical="center"/>
    </xf>
    <xf numFmtId="0" fontId="8" fillId="4" borderId="2" xfId="8"/>
    <xf numFmtId="165" fontId="8" fillId="4" borderId="2" xfId="1" applyNumberFormat="1" applyFont="1" applyFill="1" applyBorder="1" applyAlignment="1">
      <alignment horizontal="center" vertical="center"/>
    </xf>
    <xf numFmtId="0" fontId="5" fillId="2" borderId="0" xfId="5"/>
    <xf numFmtId="0" fontId="5" fillId="2" borderId="0" xfId="5" applyAlignment="1">
      <alignment wrapText="1"/>
    </xf>
    <xf numFmtId="0" fontId="4" fillId="0" borderId="0" xfId="4" applyAlignment="1">
      <alignment horizontal="right"/>
    </xf>
    <xf numFmtId="0" fontId="4" fillId="0" borderId="0" xfId="4" applyAlignment="1">
      <alignment horizontal="left"/>
    </xf>
    <xf numFmtId="9" fontId="11" fillId="0" borderId="5" xfId="1" applyFont="1" applyBorder="1" applyAlignment="1">
      <alignment horizontal="center" vertical="center"/>
    </xf>
    <xf numFmtId="0" fontId="12" fillId="4" borderId="3" xfId="7" applyFont="1" applyAlignment="1">
      <alignment horizontal="center" vertical="center"/>
    </xf>
    <xf numFmtId="9" fontId="18" fillId="0" borderId="0" xfId="0" applyNumberFormat="1" applyFont="1" applyAlignment="1">
      <alignment horizontal="center" vertical="center"/>
    </xf>
    <xf numFmtId="0" fontId="15" fillId="0" borderId="0" xfId="9" applyFont="1" applyAlignment="1">
      <alignment horizontal="right"/>
    </xf>
    <xf numFmtId="0" fontId="11" fillId="0" borderId="0" xfId="0" applyFont="1" applyAlignment="1">
      <alignment horizontal="right" vertical="center" wrapText="1"/>
    </xf>
    <xf numFmtId="0" fontId="11" fillId="0" borderId="0" xfId="0" applyFont="1" applyAlignment="1">
      <alignment horizontal="left" vertical="center" wrapText="1"/>
    </xf>
    <xf numFmtId="14" fontId="10" fillId="0" borderId="0" xfId="9" applyNumberFormat="1" applyAlignment="1">
      <alignment horizontal="left"/>
    </xf>
    <xf numFmtId="1" fontId="8" fillId="4" borderId="2" xfId="8" applyNumberFormat="1"/>
    <xf numFmtId="166" fontId="0" fillId="0" borderId="0" xfId="0" applyNumberFormat="1"/>
    <xf numFmtId="166" fontId="8" fillId="4" borderId="2" xfId="8" applyNumberFormat="1"/>
    <xf numFmtId="166" fontId="8" fillId="4" borderId="2" xfId="8" applyNumberFormat="1" applyAlignment="1">
      <alignment horizontal="center" vertical="center"/>
    </xf>
    <xf numFmtId="167" fontId="16" fillId="3" borderId="2" xfId="6" applyNumberFormat="1" applyFont="1" applyAlignment="1">
      <alignment horizontal="center" vertical="center"/>
    </xf>
    <xf numFmtId="167" fontId="12" fillId="4" borderId="3" xfId="7" applyNumberFormat="1" applyFont="1" applyAlignment="1">
      <alignment horizontal="center" vertical="center"/>
    </xf>
    <xf numFmtId="167" fontId="8" fillId="4" borderId="2" xfId="8" applyNumberFormat="1" applyAlignment="1">
      <alignment horizontal="center" vertical="center"/>
    </xf>
    <xf numFmtId="168" fontId="12" fillId="4" borderId="3" xfId="7" applyNumberFormat="1" applyFont="1" applyAlignment="1">
      <alignment horizontal="center" vertical="center"/>
    </xf>
    <xf numFmtId="167" fontId="8" fillId="4" borderId="2" xfId="8" applyNumberFormat="1"/>
    <xf numFmtId="167" fontId="0" fillId="0" borderId="0" xfId="0" applyNumberFormat="1"/>
    <xf numFmtId="0" fontId="9" fillId="5" borderId="7" xfId="0" applyFont="1" applyFill="1" applyBorder="1" applyAlignment="1">
      <alignment wrapText="1"/>
    </xf>
    <xf numFmtId="0" fontId="9" fillId="5" borderId="0" xfId="0" applyFont="1" applyFill="1" applyBorder="1" applyAlignment="1">
      <alignment wrapText="1"/>
    </xf>
    <xf numFmtId="0" fontId="9" fillId="5" borderId="8" xfId="0" applyFont="1" applyFill="1" applyBorder="1" applyAlignment="1">
      <alignment wrapText="1"/>
    </xf>
    <xf numFmtId="0" fontId="15" fillId="0" borderId="0" xfId="9" applyFont="1"/>
    <xf numFmtId="167" fontId="13" fillId="4" borderId="3" xfId="7" applyNumberFormat="1" applyFont="1" applyAlignment="1">
      <alignment horizontal="center" vertical="center"/>
    </xf>
    <xf numFmtId="9" fontId="7" fillId="4" borderId="3" xfId="1" applyFont="1" applyFill="1" applyBorder="1"/>
    <xf numFmtId="0" fontId="20" fillId="0" borderId="0" xfId="10" applyAlignment="1">
      <alignment vertical="top"/>
    </xf>
    <xf numFmtId="0" fontId="6" fillId="3" borderId="2" xfId="6" applyFont="1" applyFill="1" applyBorder="1"/>
    <xf numFmtId="0" fontId="0" fillId="0" borderId="6" xfId="0" applyBorder="1"/>
    <xf numFmtId="0" fontId="0" fillId="0" borderId="9" xfId="0" applyBorder="1"/>
    <xf numFmtId="0" fontId="0" fillId="0" borderId="0" xfId="0" applyFont="1" applyBorder="1"/>
    <xf numFmtId="0" fontId="0" fillId="0" borderId="0" xfId="0" applyFill="1"/>
    <xf numFmtId="0" fontId="0" fillId="0" borderId="0" xfId="0" applyBorder="1"/>
    <xf numFmtId="0" fontId="10" fillId="0" borderId="0" xfId="9" applyAlignment="1"/>
    <xf numFmtId="9" fontId="13" fillId="4" borderId="3" xfId="1" applyFont="1" applyFill="1" applyBorder="1" applyAlignment="1">
      <alignment horizontal="center" vertical="center"/>
    </xf>
    <xf numFmtId="0" fontId="8" fillId="4" borderId="2" xfId="8" applyNumberFormat="1"/>
    <xf numFmtId="0" fontId="8" fillId="4" borderId="10" xfId="8" applyNumberFormat="1" applyBorder="1"/>
    <xf numFmtId="0" fontId="8" fillId="4" borderId="2" xfId="8" applyNumberFormat="1" applyBorder="1"/>
    <xf numFmtId="0" fontId="8" fillId="4" borderId="11" xfId="8" applyNumberFormat="1" applyBorder="1"/>
    <xf numFmtId="168" fontId="13" fillId="4" borderId="3" xfId="7" applyNumberFormat="1" applyFont="1" applyBorder="1" applyAlignment="1">
      <alignment horizontal="center" vertical="center"/>
    </xf>
    <xf numFmtId="9" fontId="13" fillId="7" borderId="3" xfId="7" applyNumberFormat="1" applyFont="1" applyFill="1" applyAlignment="1">
      <alignment horizontal="center" vertical="center"/>
    </xf>
    <xf numFmtId="0" fontId="8" fillId="4" borderId="12" xfId="8" applyNumberFormat="1" applyBorder="1"/>
    <xf numFmtId="9" fontId="13" fillId="7" borderId="3" xfId="1" applyNumberFormat="1" applyFont="1" applyFill="1" applyBorder="1" applyAlignment="1">
      <alignment horizontal="center" vertical="center"/>
    </xf>
    <xf numFmtId="0" fontId="0" fillId="0" borderId="0" xfId="0" applyAlignment="1">
      <alignment horizontal="right"/>
    </xf>
    <xf numFmtId="0" fontId="8" fillId="4" borderId="2" xfId="8" applyAlignment="1">
      <alignment horizontal="center" vertical="center"/>
    </xf>
    <xf numFmtId="0" fontId="17" fillId="3" borderId="2" xfId="6" applyFont="1" applyAlignment="1">
      <alignment horizontal="center" vertical="center"/>
    </xf>
    <xf numFmtId="0" fontId="0" fillId="0" borderId="14" xfId="0" applyBorder="1"/>
    <xf numFmtId="167" fontId="8" fillId="4" borderId="2" xfId="8" applyNumberFormat="1" applyBorder="1" applyAlignment="1">
      <alignment horizontal="center" vertical="center"/>
    </xf>
    <xf numFmtId="167" fontId="13" fillId="4" borderId="3" xfId="7" applyNumberFormat="1" applyFont="1" applyBorder="1" applyAlignment="1">
      <alignment horizontal="center" vertical="center"/>
    </xf>
    <xf numFmtId="0" fontId="6" fillId="3" borderId="2" xfId="6" applyBorder="1"/>
    <xf numFmtId="169" fontId="16" fillId="8" borderId="13" xfId="11" applyNumberFormat="1" applyFont="1" applyAlignment="1">
      <alignment horizontal="center" vertical="center"/>
    </xf>
    <xf numFmtId="169" fontId="16" fillId="3" borderId="2" xfId="6" applyNumberFormat="1" applyFont="1" applyFill="1" applyBorder="1" applyAlignment="1">
      <alignment horizontal="center" vertical="center"/>
    </xf>
    <xf numFmtId="0" fontId="15" fillId="0" borderId="0" xfId="9" applyFont="1" applyAlignment="1"/>
    <xf numFmtId="0" fontId="13" fillId="4" borderId="3" xfId="7" applyNumberFormat="1" applyFont="1"/>
    <xf numFmtId="166" fontId="8" fillId="4" borderId="16" xfId="8" applyNumberFormat="1" applyBorder="1"/>
    <xf numFmtId="166" fontId="6" fillId="3" borderId="2" xfId="6" applyNumberFormat="1"/>
    <xf numFmtId="167" fontId="8" fillId="4" borderId="2" xfId="8" applyNumberFormat="1" applyBorder="1"/>
    <xf numFmtId="167" fontId="8" fillId="4" borderId="11" xfId="8" applyNumberFormat="1" applyBorder="1"/>
    <xf numFmtId="9" fontId="0" fillId="0" borderId="0" xfId="1" applyFont="1"/>
    <xf numFmtId="166" fontId="0" fillId="0" borderId="15" xfId="0" applyNumberFormat="1" applyBorder="1"/>
    <xf numFmtId="166" fontId="8" fillId="4" borderId="2" xfId="8" applyNumberFormat="1" applyBorder="1" applyAlignment="1">
      <alignment horizontal="center"/>
    </xf>
    <xf numFmtId="167" fontId="17" fillId="3" borderId="2" xfId="6" applyNumberFormat="1" applyFont="1" applyFill="1" applyBorder="1" applyAlignment="1">
      <alignment horizontal="center" vertical="center"/>
    </xf>
    <xf numFmtId="167" fontId="17" fillId="6" borderId="2" xfId="6" applyNumberFormat="1" applyFont="1" applyFill="1" applyBorder="1" applyAlignment="1">
      <alignment horizontal="center" vertical="center"/>
    </xf>
    <xf numFmtId="0" fontId="5" fillId="2" borderId="2" xfId="5" applyBorder="1"/>
    <xf numFmtId="170" fontId="0" fillId="0" borderId="0" xfId="0" applyNumberFormat="1" applyAlignment="1">
      <alignment wrapText="1"/>
    </xf>
    <xf numFmtId="170" fontId="0" fillId="0" borderId="0" xfId="0" applyNumberFormat="1"/>
    <xf numFmtId="0" fontId="15" fillId="0" borderId="0" xfId="9" applyFont="1" applyAlignment="1">
      <alignment horizontal="left" wrapText="1"/>
    </xf>
    <xf numFmtId="9" fontId="6" fillId="3" borderId="2" xfId="1" applyFont="1" applyFill="1" applyBorder="1" applyAlignment="1">
      <alignment horizontal="center"/>
    </xf>
    <xf numFmtId="171" fontId="0" fillId="0" borderId="0" xfId="0" applyNumberFormat="1"/>
    <xf numFmtId="0" fontId="7" fillId="4" borderId="3" xfId="7"/>
    <xf numFmtId="0" fontId="5" fillId="2" borderId="2" xfId="5" applyNumberFormat="1" applyBorder="1"/>
    <xf numFmtId="0" fontId="21" fillId="0" borderId="0" xfId="0" applyFont="1"/>
    <xf numFmtId="171" fontId="0" fillId="0" borderId="0" xfId="0" applyNumberFormat="1" applyAlignment="1">
      <alignment wrapText="1"/>
    </xf>
    <xf numFmtId="0" fontId="0" fillId="0" borderId="0" xfId="0" applyNumberFormat="1" applyAlignment="1">
      <alignment wrapText="1"/>
    </xf>
    <xf numFmtId="0" fontId="8" fillId="4" borderId="2" xfId="8" applyAlignment="1">
      <alignment wrapText="1"/>
    </xf>
    <xf numFmtId="168" fontId="8" fillId="4" borderId="2" xfId="8" applyNumberFormat="1"/>
    <xf numFmtId="0" fontId="13" fillId="4" borderId="17" xfId="7" applyNumberFormat="1" applyFont="1" applyBorder="1"/>
    <xf numFmtId="9" fontId="0" fillId="0" borderId="0" xfId="1" applyNumberFormat="1" applyFont="1"/>
    <xf numFmtId="0" fontId="6" fillId="3" borderId="10" xfId="6" applyBorder="1"/>
    <xf numFmtId="0" fontId="10" fillId="8" borderId="13" xfId="11" applyFont="1" applyAlignment="1">
      <alignment horizontal="right"/>
    </xf>
    <xf numFmtId="0" fontId="10" fillId="8" borderId="18" xfId="11" applyFont="1" applyBorder="1" applyAlignment="1">
      <alignment horizontal="right"/>
    </xf>
    <xf numFmtId="0" fontId="22" fillId="0" borderId="19" xfId="12" applyAlignment="1">
      <alignment horizontal="left"/>
    </xf>
    <xf numFmtId="0" fontId="8" fillId="4" borderId="10" xfId="8" applyBorder="1" applyAlignment="1">
      <alignment horizontal="center" vertical="center"/>
    </xf>
    <xf numFmtId="169" fontId="16" fillId="6" borderId="2" xfId="6" applyNumberFormat="1" applyFont="1" applyFill="1" applyBorder="1" applyAlignment="1">
      <alignment horizontal="center" vertical="center"/>
    </xf>
    <xf numFmtId="0" fontId="10" fillId="0" borderId="0" xfId="9" applyAlignment="1">
      <alignment horizontal="left"/>
    </xf>
    <xf numFmtId="2" fontId="5" fillId="2" borderId="0" xfId="5" applyNumberFormat="1"/>
    <xf numFmtId="172" fontId="0" fillId="0" borderId="0" xfId="0" applyNumberFormat="1"/>
    <xf numFmtId="0" fontId="7" fillId="4" borderId="3" xfId="7" applyNumberFormat="1"/>
    <xf numFmtId="0" fontId="0" fillId="0" borderId="0" xfId="0" applyFill="1" applyAlignment="1">
      <alignment wrapText="1"/>
    </xf>
    <xf numFmtId="9" fontId="8" fillId="4" borderId="2" xfId="8" applyNumberFormat="1" applyAlignment="1">
      <alignment horizontal="center" vertical="center"/>
    </xf>
    <xf numFmtId="168" fontId="7" fillId="4" borderId="3" xfId="7" applyNumberFormat="1" applyAlignment="1">
      <alignment horizontal="center" vertical="center"/>
    </xf>
    <xf numFmtId="9" fontId="7" fillId="4" borderId="3" xfId="7" applyNumberFormat="1" applyAlignment="1">
      <alignment horizontal="center" wrapText="1"/>
    </xf>
    <xf numFmtId="9" fontId="6" fillId="6" borderId="11" xfId="1" applyFont="1" applyFill="1" applyBorder="1" applyAlignment="1">
      <alignment horizontal="center"/>
    </xf>
    <xf numFmtId="0" fontId="20" fillId="0" borderId="0" xfId="10"/>
    <xf numFmtId="0" fontId="4" fillId="0" borderId="20" xfId="4" applyBorder="1" applyAlignment="1">
      <alignment wrapText="1"/>
    </xf>
    <xf numFmtId="0" fontId="0" fillId="0" borderId="0" xfId="0" applyAlignment="1">
      <alignment vertical="top"/>
    </xf>
    <xf numFmtId="9" fontId="0" fillId="0" borderId="0" xfId="1" applyFont="1" applyAlignment="1">
      <alignment vertical="top"/>
    </xf>
    <xf numFmtId="0" fontId="0" fillId="0" borderId="0" xfId="0" applyAlignment="1">
      <alignment horizontal="center" vertical="top"/>
    </xf>
    <xf numFmtId="0" fontId="4" fillId="0" borderId="0" xfId="4" applyAlignment="1">
      <alignment horizontal="right" vertical="center"/>
    </xf>
    <xf numFmtId="167" fontId="23" fillId="4" borderId="2" xfId="8" applyNumberFormat="1" applyFont="1" applyAlignment="1">
      <alignment horizontal="center" vertical="center"/>
    </xf>
    <xf numFmtId="164" fontId="0" fillId="0" borderId="0" xfId="0" applyNumberFormat="1"/>
    <xf numFmtId="0" fontId="0" fillId="0" borderId="0" xfId="0" applyAlignment="1">
      <alignment horizontal="center" vertical="center"/>
    </xf>
    <xf numFmtId="0" fontId="0" fillId="0" borderId="0" xfId="0" applyAlignment="1">
      <alignment horizontal="center" wrapText="1"/>
    </xf>
    <xf numFmtId="0" fontId="22" fillId="0" borderId="19" xfId="12"/>
    <xf numFmtId="0" fontId="0" fillId="0" borderId="0" xfId="0" applyAlignment="1">
      <alignment vertical="center"/>
    </xf>
    <xf numFmtId="49" fontId="25" fillId="0" borderId="0" xfId="0" applyNumberFormat="1" applyFont="1" applyAlignment="1">
      <alignment horizontal="center" vertical="center"/>
    </xf>
    <xf numFmtId="0" fontId="0" fillId="0" borderId="0" xfId="0" applyAlignment="1">
      <alignment vertical="center" wrapText="1"/>
    </xf>
    <xf numFmtId="1" fontId="13" fillId="4" borderId="3" xfId="7" applyNumberFormat="1" applyFont="1" applyAlignment="1">
      <alignment horizontal="center" vertical="center"/>
    </xf>
    <xf numFmtId="2" fontId="0" fillId="0" borderId="0" xfId="0" applyNumberFormat="1" applyAlignment="1">
      <alignment horizontal="center" vertical="center"/>
    </xf>
    <xf numFmtId="0" fontId="28" fillId="0" borderId="0" xfId="0" applyFont="1"/>
    <xf numFmtId="0" fontId="6" fillId="3" borderId="2" xfId="6" applyAlignment="1">
      <alignment horizontal="center" vertical="center"/>
    </xf>
    <xf numFmtId="0" fontId="6" fillId="3" borderId="2" xfId="6" applyAlignment="1">
      <alignment vertical="center"/>
    </xf>
    <xf numFmtId="0" fontId="30" fillId="4" borderId="2" xfId="8" applyFont="1" applyAlignment="1">
      <alignment horizontal="center" vertical="center"/>
    </xf>
    <xf numFmtId="0" fontId="30" fillId="4" borderId="10" xfId="8" applyFont="1" applyBorder="1" applyAlignment="1">
      <alignment horizontal="center" vertical="center"/>
    </xf>
    <xf numFmtId="0" fontId="31" fillId="3" borderId="2" xfId="6" applyFont="1" applyAlignment="1">
      <alignment horizontal="center" vertical="center"/>
    </xf>
    <xf numFmtId="0" fontId="32" fillId="4" borderId="2" xfId="8" applyFont="1" applyAlignment="1">
      <alignment horizontal="center" vertical="center"/>
    </xf>
    <xf numFmtId="0" fontId="32" fillId="4" borderId="10" xfId="8" applyFont="1" applyBorder="1" applyAlignment="1">
      <alignment horizontal="center" vertical="center"/>
    </xf>
    <xf numFmtId="0" fontId="7" fillId="4" borderId="3" xfId="7" applyAlignment="1">
      <alignment horizontal="center" vertical="center"/>
    </xf>
    <xf numFmtId="0" fontId="33" fillId="4" borderId="3" xfId="7" applyFont="1" applyAlignment="1">
      <alignment horizontal="center" vertical="center"/>
    </xf>
    <xf numFmtId="0" fontId="34" fillId="3" borderId="2" xfId="6" applyFont="1" applyAlignment="1">
      <alignment horizontal="center" vertical="center"/>
    </xf>
    <xf numFmtId="0" fontId="35" fillId="3" borderId="2" xfId="6" applyFont="1" applyAlignment="1">
      <alignment horizontal="center" vertical="center"/>
    </xf>
    <xf numFmtId="0" fontId="0" fillId="0" borderId="0" xfId="0" applyAlignment="1">
      <alignment horizontal="left" wrapText="1"/>
    </xf>
    <xf numFmtId="0" fontId="26" fillId="0" borderId="0" xfId="0" applyFont="1" applyFill="1" applyAlignment="1">
      <alignment vertical="top" wrapText="1"/>
    </xf>
    <xf numFmtId="0" fontId="25" fillId="0" borderId="0" xfId="0" applyFont="1" applyAlignment="1">
      <alignment horizontal="center" vertical="top" wrapText="1"/>
    </xf>
    <xf numFmtId="0" fontId="25" fillId="0" borderId="0" xfId="0" applyFont="1" applyAlignment="1">
      <alignment horizontal="center" vertical="top"/>
    </xf>
    <xf numFmtId="0" fontId="10" fillId="0" borderId="0" xfId="9" applyFont="1" applyAlignment="1"/>
    <xf numFmtId="0" fontId="0" fillId="0" borderId="20" xfId="0" applyBorder="1" applyAlignment="1">
      <alignment vertical="top"/>
    </xf>
    <xf numFmtId="0" fontId="0" fillId="0" borderId="20" xfId="0" applyBorder="1" applyAlignment="1">
      <alignment vertical="top" wrapText="1"/>
    </xf>
    <xf numFmtId="0" fontId="27" fillId="2" borderId="2" xfId="5" applyFont="1" applyBorder="1"/>
    <xf numFmtId="0" fontId="35" fillId="3" borderId="2" xfId="6" applyFont="1"/>
    <xf numFmtId="0" fontId="7" fillId="4" borderId="3" xfId="7" applyNumberFormat="1" applyAlignment="1">
      <alignment horizontal="center" vertical="center"/>
    </xf>
    <xf numFmtId="0" fontId="0" fillId="0" borderId="0" xfId="0" applyNumberFormat="1" applyAlignment="1">
      <alignment horizontal="center" vertical="center"/>
    </xf>
    <xf numFmtId="0" fontId="4" fillId="0" borderId="0" xfId="4" applyAlignment="1">
      <alignment horizontal="left" wrapText="1"/>
    </xf>
    <xf numFmtId="9" fontId="0" fillId="0" borderId="0" xfId="1" applyFont="1" applyAlignment="1">
      <alignment horizontal="center"/>
    </xf>
    <xf numFmtId="9" fontId="0" fillId="0" borderId="0" xfId="1" applyNumberFormat="1" applyFont="1" applyAlignment="1">
      <alignment horizontal="center"/>
    </xf>
    <xf numFmtId="9" fontId="0" fillId="0" borderId="0" xfId="1" applyFont="1" applyAlignment="1">
      <alignment horizontal="center" vertical="center"/>
    </xf>
    <xf numFmtId="9" fontId="0" fillId="0" borderId="0" xfId="1" applyNumberFormat="1" applyFont="1" applyAlignment="1">
      <alignment horizontal="center" vertical="center"/>
    </xf>
    <xf numFmtId="0" fontId="36" fillId="2" borderId="0" xfId="5" applyFont="1" applyAlignment="1">
      <alignment horizontal="center" vertical="center"/>
    </xf>
    <xf numFmtId="0" fontId="26" fillId="0" borderId="0" xfId="0" applyFont="1"/>
    <xf numFmtId="174" fontId="7" fillId="4" borderId="3" xfId="7" applyNumberFormat="1" applyAlignment="1">
      <alignment horizontal="center" vertical="center"/>
    </xf>
    <xf numFmtId="2" fontId="7" fillId="4" borderId="3" xfId="7" applyNumberFormat="1" applyAlignment="1">
      <alignment horizontal="center" vertical="center" wrapText="1"/>
    </xf>
    <xf numFmtId="0" fontId="10" fillId="0" borderId="0" xfId="9" applyAlignment="1">
      <alignment horizontal="center" vertical="center"/>
    </xf>
    <xf numFmtId="173" fontId="0" fillId="0" borderId="0" xfId="0" applyNumberFormat="1" applyAlignment="1">
      <alignment horizontal="center" vertical="center"/>
    </xf>
    <xf numFmtId="0" fontId="10" fillId="0" borderId="0" xfId="9" applyAlignment="1">
      <alignment vertical="top"/>
    </xf>
    <xf numFmtId="0" fontId="6" fillId="3" borderId="10" xfId="6" applyFont="1" applyFill="1" applyBorder="1"/>
    <xf numFmtId="169" fontId="8" fillId="4" borderId="2" xfId="8" applyNumberFormat="1" applyAlignment="1">
      <alignment horizontal="center" vertical="center"/>
    </xf>
    <xf numFmtId="169" fontId="29" fillId="4" borderId="2" xfId="8" applyNumberFormat="1" applyFont="1" applyAlignment="1">
      <alignment horizontal="center" vertical="center"/>
    </xf>
    <xf numFmtId="167" fontId="8" fillId="4" borderId="21" xfId="8" applyNumberFormat="1" applyBorder="1" applyAlignment="1">
      <alignment horizontal="center" vertical="center"/>
    </xf>
    <xf numFmtId="167" fontId="8" fillId="4" borderId="22" xfId="8" applyNumberFormat="1" applyBorder="1" applyAlignment="1">
      <alignment horizontal="center" vertical="center"/>
    </xf>
    <xf numFmtId="0" fontId="17" fillId="3" borderId="22" xfId="6" applyFont="1" applyBorder="1"/>
    <xf numFmtId="0" fontId="8" fillId="4" borderId="23" xfId="8" applyNumberFormat="1" applyBorder="1"/>
    <xf numFmtId="0" fontId="8" fillId="4" borderId="24" xfId="8" applyNumberFormat="1" applyBorder="1"/>
    <xf numFmtId="168" fontId="13" fillId="4" borderId="25" xfId="7" applyNumberFormat="1" applyFont="1" applyBorder="1" applyAlignment="1">
      <alignment horizontal="center" vertical="center"/>
    </xf>
    <xf numFmtId="9" fontId="13" fillId="7" borderId="25" xfId="1" applyNumberFormat="1" applyFont="1" applyFill="1" applyBorder="1" applyAlignment="1">
      <alignment horizontal="center" vertical="center"/>
    </xf>
    <xf numFmtId="168" fontId="8" fillId="4" borderId="26" xfId="8" applyNumberFormat="1" applyBorder="1" applyAlignment="1">
      <alignment horizontal="center" vertical="center"/>
    </xf>
    <xf numFmtId="167" fontId="8" fillId="4" borderId="27" xfId="8" applyNumberFormat="1" applyBorder="1" applyAlignment="1">
      <alignment horizontal="center" vertical="center"/>
    </xf>
    <xf numFmtId="0" fontId="17" fillId="3" borderId="2" xfId="6" applyFont="1" applyBorder="1"/>
    <xf numFmtId="168" fontId="8" fillId="4" borderId="28" xfId="8" applyNumberFormat="1" applyBorder="1" applyAlignment="1">
      <alignment horizontal="center" vertical="center"/>
    </xf>
    <xf numFmtId="167" fontId="8" fillId="4" borderId="29" xfId="8" applyNumberFormat="1" applyBorder="1" applyAlignment="1">
      <alignment horizontal="center" vertical="center"/>
    </xf>
    <xf numFmtId="167" fontId="8" fillId="4" borderId="30" xfId="8" applyNumberFormat="1" applyBorder="1" applyAlignment="1">
      <alignment horizontal="center" vertical="center"/>
    </xf>
    <xf numFmtId="0" fontId="17" fillId="3" borderId="30" xfId="6" applyFont="1" applyBorder="1"/>
    <xf numFmtId="0" fontId="8" fillId="4" borderId="31" xfId="8" applyNumberFormat="1" applyBorder="1"/>
    <xf numFmtId="0" fontId="8" fillId="4" borderId="32" xfId="8" applyNumberFormat="1" applyBorder="1"/>
    <xf numFmtId="168" fontId="13" fillId="4" borderId="33" xfId="7" applyNumberFormat="1" applyFont="1" applyBorder="1" applyAlignment="1">
      <alignment horizontal="center" vertical="center"/>
    </xf>
    <xf numFmtId="9" fontId="13" fillId="7" borderId="33" xfId="1" applyNumberFormat="1" applyFont="1" applyFill="1" applyBorder="1" applyAlignment="1">
      <alignment horizontal="center" vertical="center"/>
    </xf>
    <xf numFmtId="168" fontId="8" fillId="4" borderId="34" xfId="8" applyNumberFormat="1" applyBorder="1" applyAlignment="1">
      <alignment horizontal="center" vertical="center"/>
    </xf>
    <xf numFmtId="0" fontId="8" fillId="4" borderId="22" xfId="8" applyBorder="1"/>
    <xf numFmtId="9" fontId="13" fillId="4" borderId="25" xfId="1" applyFont="1" applyFill="1" applyBorder="1" applyAlignment="1">
      <alignment horizontal="center" vertical="center"/>
    </xf>
    <xf numFmtId="0" fontId="8" fillId="4" borderId="2" xfId="8" applyBorder="1"/>
    <xf numFmtId="0" fontId="8" fillId="4" borderId="30" xfId="8" applyBorder="1"/>
    <xf numFmtId="9" fontId="13" fillId="4" borderId="33" xfId="1" applyFont="1" applyFill="1" applyBorder="1" applyAlignment="1">
      <alignment horizontal="center" vertical="center"/>
    </xf>
    <xf numFmtId="175" fontId="24" fillId="0" borderId="2" xfId="1" applyNumberFormat="1" applyFont="1" applyFill="1" applyBorder="1" applyAlignment="1">
      <alignment horizontal="center" vertical="center"/>
    </xf>
    <xf numFmtId="0" fontId="10" fillId="0" borderId="0" xfId="9" applyAlignment="1">
      <alignment horizontal="right" wrapText="1"/>
    </xf>
    <xf numFmtId="0" fontId="6" fillId="3" borderId="2" xfId="6" applyBorder="1" applyAlignment="1">
      <alignment vertical="center"/>
    </xf>
    <xf numFmtId="0" fontId="6" fillId="3" borderId="11" xfId="6" applyBorder="1" applyAlignment="1">
      <alignment vertical="center"/>
    </xf>
    <xf numFmtId="169" fontId="29" fillId="4" borderId="2" xfId="8" applyNumberFormat="1" applyFont="1" applyFill="1" applyBorder="1" applyAlignment="1">
      <alignment horizontal="center" vertical="center"/>
    </xf>
    <xf numFmtId="0" fontId="35" fillId="3" borderId="11" xfId="6" applyFont="1" applyBorder="1"/>
    <xf numFmtId="0" fontId="28" fillId="8" borderId="35" xfId="11" applyFont="1" applyBorder="1" applyAlignment="1">
      <alignment horizontal="center" vertical="center"/>
    </xf>
    <xf numFmtId="0" fontId="28" fillId="8" borderId="36" xfId="11" applyFont="1" applyBorder="1" applyAlignment="1">
      <alignment horizontal="center" vertical="center"/>
    </xf>
    <xf numFmtId="0" fontId="28" fillId="8" borderId="37" xfId="11" applyFont="1" applyBorder="1" applyAlignment="1">
      <alignment horizontal="center" vertical="center"/>
    </xf>
    <xf numFmtId="0" fontId="28" fillId="9" borderId="38" xfId="0" applyFont="1" applyFill="1" applyBorder="1" applyAlignment="1">
      <alignment horizontal="center" vertical="center"/>
    </xf>
    <xf numFmtId="0" fontId="28" fillId="8" borderId="39" xfId="11" applyFont="1" applyBorder="1" applyAlignment="1">
      <alignment horizontal="center" vertical="center"/>
    </xf>
    <xf numFmtId="0" fontId="28" fillId="8" borderId="0" xfId="11" applyFont="1" applyBorder="1" applyAlignment="1">
      <alignment horizontal="center" vertical="center"/>
    </xf>
    <xf numFmtId="0" fontId="28" fillId="8" borderId="40" xfId="11" applyFont="1" applyBorder="1" applyAlignment="1">
      <alignment horizontal="center" vertical="center"/>
    </xf>
    <xf numFmtId="0" fontId="28" fillId="9" borderId="41" xfId="0" applyFont="1" applyFill="1" applyBorder="1" applyAlignment="1">
      <alignment horizontal="center" vertical="center"/>
    </xf>
    <xf numFmtId="0" fontId="37" fillId="10" borderId="20" xfId="0" applyFont="1" applyFill="1" applyBorder="1" applyAlignment="1">
      <alignment horizontal="center" vertical="center"/>
    </xf>
    <xf numFmtId="0" fontId="28" fillId="11" borderId="20" xfId="0" applyFont="1" applyFill="1" applyBorder="1" applyAlignment="1">
      <alignment horizontal="center" vertical="center"/>
    </xf>
    <xf numFmtId="0" fontId="37" fillId="12" borderId="20" xfId="0" applyFont="1" applyFill="1" applyBorder="1" applyAlignment="1">
      <alignment horizontal="center" vertical="center"/>
    </xf>
    <xf numFmtId="170" fontId="23" fillId="4" borderId="2" xfId="8" applyNumberFormat="1" applyFont="1" applyAlignment="1">
      <alignment horizontal="center" vertical="center"/>
    </xf>
    <xf numFmtId="0" fontId="28" fillId="13" borderId="20" xfId="0" applyFont="1" applyFill="1" applyBorder="1" applyAlignment="1">
      <alignment horizontal="center" vertical="center"/>
    </xf>
    <xf numFmtId="0" fontId="37" fillId="14" borderId="20" xfId="0" applyFont="1" applyFill="1" applyBorder="1" applyAlignment="1">
      <alignment horizontal="center" vertical="center"/>
    </xf>
    <xf numFmtId="0" fontId="28" fillId="8" borderId="42" xfId="11" applyFont="1" applyBorder="1" applyAlignment="1">
      <alignment horizontal="center" vertical="center"/>
    </xf>
    <xf numFmtId="0" fontId="28" fillId="8" borderId="43" xfId="11" applyFont="1" applyBorder="1" applyAlignment="1">
      <alignment horizontal="center" vertical="center"/>
    </xf>
    <xf numFmtId="0" fontId="28" fillId="9" borderId="44" xfId="0" applyFont="1" applyFill="1" applyBorder="1" applyAlignment="1">
      <alignment horizontal="center" vertical="center"/>
    </xf>
    <xf numFmtId="0" fontId="28" fillId="9" borderId="45" xfId="0" applyFont="1" applyFill="1" applyBorder="1" applyAlignment="1">
      <alignment horizontal="center" vertical="center"/>
    </xf>
    <xf numFmtId="0" fontId="28" fillId="8" borderId="46" xfId="11" applyFont="1" applyBorder="1" applyAlignment="1">
      <alignment horizontal="center" vertical="center"/>
    </xf>
    <xf numFmtId="0" fontId="23" fillId="4" borderId="2" xfId="8" applyFont="1" applyAlignment="1">
      <alignment horizontal="center" vertical="center"/>
    </xf>
    <xf numFmtId="0" fontId="28" fillId="9" borderId="47" xfId="0" applyFont="1" applyFill="1" applyBorder="1" applyAlignment="1">
      <alignment horizontal="center" vertical="center"/>
    </xf>
    <xf numFmtId="0" fontId="28" fillId="9" borderId="48" xfId="0" applyFont="1" applyFill="1" applyBorder="1" applyAlignment="1">
      <alignment horizontal="center" vertical="center"/>
    </xf>
    <xf numFmtId="0" fontId="28" fillId="9" borderId="49" xfId="0" applyFont="1" applyFill="1" applyBorder="1" applyAlignment="1">
      <alignment horizontal="center" vertical="center"/>
    </xf>
    <xf numFmtId="0" fontId="28" fillId="9" borderId="50" xfId="0" applyFont="1" applyFill="1" applyBorder="1" applyAlignment="1">
      <alignment horizontal="center" vertical="center"/>
    </xf>
    <xf numFmtId="0" fontId="37" fillId="12" borderId="51" xfId="0" applyFont="1" applyFill="1" applyBorder="1" applyAlignment="1">
      <alignment horizontal="center" vertical="center"/>
    </xf>
    <xf numFmtId="0" fontId="37" fillId="14" borderId="52" xfId="0" applyFont="1" applyFill="1" applyBorder="1" applyAlignment="1">
      <alignment horizontal="center" vertical="center"/>
    </xf>
    <xf numFmtId="0" fontId="37" fillId="12" borderId="53" xfId="0" applyFont="1" applyFill="1" applyBorder="1" applyAlignment="1">
      <alignment horizontal="center" vertical="center"/>
    </xf>
    <xf numFmtId="0" fontId="28" fillId="13" borderId="52" xfId="0" applyFont="1" applyFill="1" applyBorder="1" applyAlignment="1">
      <alignment horizontal="center" vertical="center"/>
    </xf>
    <xf numFmtId="0" fontId="37" fillId="14" borderId="54" xfId="0" applyFont="1" applyFill="1" applyBorder="1" applyAlignment="1">
      <alignment horizontal="center" vertical="center"/>
    </xf>
    <xf numFmtId="0" fontId="28" fillId="13" borderId="54" xfId="0" applyFont="1" applyFill="1" applyBorder="1" applyAlignment="1">
      <alignment horizontal="center" vertical="center"/>
    </xf>
    <xf numFmtId="0" fontId="28" fillId="11" borderId="48" xfId="0" applyFont="1" applyFill="1" applyBorder="1" applyAlignment="1">
      <alignment horizontal="center" vertical="center"/>
    </xf>
    <xf numFmtId="0" fontId="28" fillId="11" borderId="49" xfId="0" applyFont="1" applyFill="1" applyBorder="1" applyAlignment="1">
      <alignment horizontal="center" vertical="center"/>
    </xf>
    <xf numFmtId="0" fontId="28" fillId="11" borderId="47" xfId="0" applyFont="1" applyFill="1" applyBorder="1" applyAlignment="1">
      <alignment horizontal="center" vertical="center"/>
    </xf>
    <xf numFmtId="0" fontId="28" fillId="11" borderId="50" xfId="0" applyFont="1" applyFill="1" applyBorder="1" applyAlignment="1">
      <alignment horizontal="center" vertical="center"/>
    </xf>
    <xf numFmtId="0" fontId="37" fillId="0" borderId="0" xfId="0" applyFont="1" applyAlignment="1">
      <alignment horizontal="center" vertical="center"/>
    </xf>
    <xf numFmtId="0" fontId="28" fillId="9" borderId="55" xfId="0" applyFont="1" applyFill="1" applyBorder="1" applyAlignment="1">
      <alignment horizontal="center" vertical="center"/>
    </xf>
    <xf numFmtId="0" fontId="28" fillId="9" borderId="56" xfId="0" applyFont="1" applyFill="1" applyBorder="1" applyAlignment="1">
      <alignment horizontal="center" vertical="center"/>
    </xf>
    <xf numFmtId="0" fontId="28" fillId="11" borderId="56" xfId="0" applyFont="1" applyFill="1" applyBorder="1" applyAlignment="1">
      <alignment horizontal="center" vertical="center"/>
    </xf>
    <xf numFmtId="0" fontId="28" fillId="11" borderId="55" xfId="0" applyFont="1" applyFill="1" applyBorder="1" applyAlignment="1">
      <alignment horizontal="center" vertical="center"/>
    </xf>
    <xf numFmtId="0" fontId="10" fillId="0" borderId="0" xfId="9" applyBorder="1"/>
    <xf numFmtId="0" fontId="0" fillId="0" borderId="40" xfId="0" applyBorder="1"/>
    <xf numFmtId="0" fontId="28" fillId="10" borderId="20" xfId="0" applyFont="1" applyFill="1" applyBorder="1" applyAlignment="1">
      <alignment horizontal="center" vertical="center"/>
    </xf>
    <xf numFmtId="0" fontId="28" fillId="9" borderId="52" xfId="0" applyFont="1" applyFill="1" applyBorder="1" applyAlignment="1">
      <alignment horizontal="center" vertical="center"/>
    </xf>
    <xf numFmtId="0" fontId="28" fillId="10" borderId="48" xfId="0" applyFont="1" applyFill="1" applyBorder="1" applyAlignment="1">
      <alignment horizontal="center" vertical="center"/>
    </xf>
    <xf numFmtId="0" fontId="0" fillId="0" borderId="57" xfId="0" applyBorder="1"/>
    <xf numFmtId="0" fontId="28" fillId="9" borderId="20" xfId="0" applyFont="1" applyFill="1" applyBorder="1" applyAlignment="1">
      <alignment horizontal="center" vertical="center"/>
    </xf>
    <xf numFmtId="0" fontId="28" fillId="0" borderId="0" xfId="0" applyFont="1" applyAlignment="1">
      <alignment horizontal="center" vertical="center"/>
    </xf>
    <xf numFmtId="0" fontId="28" fillId="11" borderId="51" xfId="0" applyFont="1" applyFill="1" applyBorder="1" applyAlignment="1">
      <alignment horizontal="center" vertical="center"/>
    </xf>
    <xf numFmtId="0" fontId="37" fillId="10" borderId="51" xfId="0" applyFont="1" applyFill="1" applyBorder="1" applyAlignment="1">
      <alignment horizontal="center" vertical="center"/>
    </xf>
    <xf numFmtId="0" fontId="37" fillId="10" borderId="53" xfId="0" applyFont="1" applyFill="1" applyBorder="1" applyAlignment="1">
      <alignment horizontal="center" vertical="center"/>
    </xf>
    <xf numFmtId="0" fontId="28" fillId="11" borderId="53" xfId="0" applyFont="1" applyFill="1" applyBorder="1" applyAlignment="1">
      <alignment horizontal="center" vertical="center"/>
    </xf>
    <xf numFmtId="0" fontId="28" fillId="15" borderId="35" xfId="0" applyFont="1" applyFill="1" applyBorder="1"/>
    <xf numFmtId="0" fontId="28" fillId="15" borderId="36" xfId="0" applyFont="1" applyFill="1" applyBorder="1"/>
    <xf numFmtId="0" fontId="28" fillId="15" borderId="37" xfId="0" applyFont="1" applyFill="1" applyBorder="1"/>
    <xf numFmtId="0" fontId="28" fillId="15" borderId="0" xfId="0" applyFont="1" applyFill="1"/>
    <xf numFmtId="0" fontId="0" fillId="16" borderId="35" xfId="0" applyFill="1" applyBorder="1"/>
    <xf numFmtId="0" fontId="0" fillId="16" borderId="36" xfId="0" applyFill="1" applyBorder="1"/>
    <xf numFmtId="0" fontId="0" fillId="16" borderId="37" xfId="0" applyFill="1" applyBorder="1"/>
    <xf numFmtId="0" fontId="0" fillId="16" borderId="0" xfId="0" applyFill="1"/>
    <xf numFmtId="0" fontId="28" fillId="15" borderId="39" xfId="0" applyFont="1" applyFill="1" applyBorder="1"/>
    <xf numFmtId="0" fontId="28" fillId="15" borderId="0" xfId="0" applyFont="1" applyFill="1" applyAlignment="1">
      <alignment horizontal="center"/>
    </xf>
    <xf numFmtId="0" fontId="28" fillId="15" borderId="40" xfId="0" applyFont="1" applyFill="1" applyBorder="1"/>
    <xf numFmtId="0" fontId="0" fillId="16" borderId="39" xfId="0" applyFill="1" applyBorder="1"/>
    <xf numFmtId="0" fontId="28" fillId="16" borderId="0" xfId="0" applyFont="1" applyFill="1" applyAlignment="1">
      <alignment horizontal="center" vertical="center"/>
    </xf>
    <xf numFmtId="0" fontId="0" fillId="16" borderId="40" xfId="0" applyFill="1" applyBorder="1"/>
    <xf numFmtId="0" fontId="28" fillId="15" borderId="42" xfId="0" applyFont="1" applyFill="1" applyBorder="1"/>
    <xf numFmtId="0" fontId="28" fillId="15" borderId="43" xfId="0" applyFont="1" applyFill="1" applyBorder="1"/>
    <xf numFmtId="0" fontId="0" fillId="16" borderId="42" xfId="0" applyFill="1" applyBorder="1"/>
    <xf numFmtId="0" fontId="0" fillId="16" borderId="43" xfId="0" applyFill="1" applyBorder="1"/>
    <xf numFmtId="0" fontId="28" fillId="8" borderId="5" xfId="11" applyFont="1" applyBorder="1" applyAlignment="1">
      <alignment horizontal="center" vertical="center"/>
    </xf>
    <xf numFmtId="0" fontId="0" fillId="16" borderId="46" xfId="0" applyFill="1" applyBorder="1"/>
    <xf numFmtId="0" fontId="28" fillId="15" borderId="46" xfId="0" applyFont="1" applyFill="1" applyBorder="1"/>
    <xf numFmtId="0" fontId="0" fillId="9" borderId="35" xfId="0" applyFill="1" applyBorder="1"/>
    <xf numFmtId="0" fontId="0" fillId="9" borderId="36" xfId="0" applyFill="1" applyBorder="1"/>
    <xf numFmtId="0" fontId="0" fillId="9" borderId="37" xfId="0" applyFill="1" applyBorder="1"/>
    <xf numFmtId="0" fontId="0" fillId="9" borderId="39" xfId="0" applyFill="1" applyBorder="1"/>
    <xf numFmtId="0" fontId="0" fillId="9" borderId="0" xfId="0" applyFill="1"/>
    <xf numFmtId="0" fontId="0" fillId="9" borderId="40" xfId="0" applyFill="1" applyBorder="1"/>
    <xf numFmtId="0" fontId="0" fillId="11" borderId="35" xfId="0" applyFill="1" applyBorder="1"/>
    <xf numFmtId="0" fontId="0" fillId="11" borderId="36" xfId="0" applyFill="1" applyBorder="1"/>
    <xf numFmtId="0" fontId="0" fillId="11" borderId="37" xfId="0" applyFill="1" applyBorder="1"/>
    <xf numFmtId="0" fontId="0" fillId="10" borderId="35" xfId="0" applyFill="1" applyBorder="1"/>
    <xf numFmtId="0" fontId="0" fillId="10" borderId="36" xfId="0" applyFill="1" applyBorder="1"/>
    <xf numFmtId="0" fontId="0" fillId="10" borderId="37" xfId="0" applyFill="1" applyBorder="1"/>
    <xf numFmtId="0" fontId="0" fillId="11" borderId="39" xfId="0" applyFill="1" applyBorder="1"/>
    <xf numFmtId="0" fontId="0" fillId="11" borderId="0" xfId="0" applyFill="1"/>
    <xf numFmtId="0" fontId="28" fillId="11" borderId="0" xfId="0" applyFont="1" applyFill="1" applyAlignment="1">
      <alignment horizontal="center"/>
    </xf>
    <xf numFmtId="0" fontId="0" fillId="11" borderId="40" xfId="0" applyFill="1" applyBorder="1"/>
    <xf numFmtId="0" fontId="0" fillId="10" borderId="39" xfId="0" applyFill="1" applyBorder="1"/>
    <xf numFmtId="0" fontId="0" fillId="10" borderId="0" xfId="0" applyFill="1"/>
    <xf numFmtId="0" fontId="28" fillId="10" borderId="0" xfId="0" applyFont="1" applyFill="1" applyAlignment="1">
      <alignment horizontal="center"/>
    </xf>
    <xf numFmtId="0" fontId="0" fillId="10" borderId="40" xfId="0" applyFill="1" applyBorder="1"/>
    <xf numFmtId="0" fontId="28" fillId="9" borderId="0" xfId="0" applyFont="1" applyFill="1" applyAlignment="1">
      <alignment horizontal="center"/>
    </xf>
    <xf numFmtId="0" fontId="0" fillId="11" borderId="42" xfId="0" applyFill="1" applyBorder="1"/>
    <xf numFmtId="0" fontId="0" fillId="11" borderId="46" xfId="0" applyFill="1" applyBorder="1"/>
    <xf numFmtId="0" fontId="0" fillId="11" borderId="43" xfId="0" applyFill="1" applyBorder="1"/>
    <xf numFmtId="0" fontId="0" fillId="10" borderId="42" xfId="0" applyFill="1" applyBorder="1"/>
    <xf numFmtId="0" fontId="0" fillId="10" borderId="46" xfId="0" applyFill="1" applyBorder="1"/>
    <xf numFmtId="0" fontId="0" fillId="10" borderId="43" xfId="0" applyFill="1" applyBorder="1"/>
    <xf numFmtId="0" fontId="0" fillId="9" borderId="42" xfId="0" applyFill="1" applyBorder="1"/>
    <xf numFmtId="0" fontId="0" fillId="9" borderId="46" xfId="0" applyFill="1" applyBorder="1"/>
    <xf numFmtId="0" fontId="0" fillId="9" borderId="43" xfId="0" applyFill="1" applyBorder="1"/>
    <xf numFmtId="0" fontId="0" fillId="13" borderId="35" xfId="0" applyFill="1" applyBorder="1"/>
    <xf numFmtId="0" fontId="0" fillId="13" borderId="36" xfId="0" applyFill="1" applyBorder="1"/>
    <xf numFmtId="0" fontId="0" fillId="13" borderId="37" xfId="0" applyFill="1" applyBorder="1"/>
    <xf numFmtId="0" fontId="0" fillId="14" borderId="35" xfId="0" applyFill="1" applyBorder="1"/>
    <xf numFmtId="0" fontId="0" fillId="14" borderId="36" xfId="0" applyFill="1" applyBorder="1"/>
    <xf numFmtId="0" fontId="0" fillId="14" borderId="37" xfId="0" applyFill="1" applyBorder="1"/>
    <xf numFmtId="0" fontId="0" fillId="12" borderId="35" xfId="0" applyFill="1" applyBorder="1"/>
    <xf numFmtId="0" fontId="0" fillId="12" borderId="36" xfId="0" applyFill="1" applyBorder="1"/>
    <xf numFmtId="0" fontId="0" fillId="12" borderId="37" xfId="0" applyFill="1" applyBorder="1"/>
    <xf numFmtId="0" fontId="0" fillId="13" borderId="39" xfId="0" applyFill="1" applyBorder="1"/>
    <xf numFmtId="0" fontId="0" fillId="13" borderId="0" xfId="0" applyFill="1"/>
    <xf numFmtId="0" fontId="0" fillId="13" borderId="40" xfId="0" applyFill="1" applyBorder="1"/>
    <xf numFmtId="0" fontId="0" fillId="14" borderId="39" xfId="0" applyFill="1" applyBorder="1"/>
    <xf numFmtId="0" fontId="0" fillId="14" borderId="0" xfId="0" applyFill="1"/>
    <xf numFmtId="0" fontId="0" fillId="14" borderId="40" xfId="0" applyFill="1" applyBorder="1"/>
    <xf numFmtId="0" fontId="0" fillId="12" borderId="39" xfId="0" applyFill="1" applyBorder="1"/>
    <xf numFmtId="0" fontId="0" fillId="12" borderId="0" xfId="0" applyFill="1"/>
    <xf numFmtId="0" fontId="0" fillId="12" borderId="40" xfId="0" applyFill="1" applyBorder="1"/>
    <xf numFmtId="0" fontId="28" fillId="13" borderId="0" xfId="0" applyFont="1" applyFill="1" applyAlignment="1">
      <alignment horizontal="center"/>
    </xf>
    <xf numFmtId="0" fontId="28" fillId="14" borderId="0" xfId="0" applyFont="1" applyFill="1" applyAlignment="1">
      <alignment horizontal="center"/>
    </xf>
    <xf numFmtId="0" fontId="28" fillId="12" borderId="0" xfId="0" applyFont="1" applyFill="1" applyAlignment="1">
      <alignment horizontal="center"/>
    </xf>
    <xf numFmtId="0" fontId="0" fillId="13" borderId="42" xfId="0" applyFill="1" applyBorder="1"/>
    <xf numFmtId="0" fontId="0" fillId="13" borderId="46" xfId="0" applyFill="1" applyBorder="1"/>
    <xf numFmtId="0" fontId="0" fillId="13" borderId="43" xfId="0" applyFill="1" applyBorder="1"/>
    <xf numFmtId="0" fontId="0" fillId="14" borderId="42" xfId="0" applyFill="1" applyBorder="1"/>
    <xf numFmtId="0" fontId="0" fillId="14" borderId="46" xfId="0" applyFill="1" applyBorder="1"/>
    <xf numFmtId="0" fontId="0" fillId="14" borderId="43" xfId="0" applyFill="1" applyBorder="1"/>
    <xf numFmtId="0" fontId="0" fillId="12" borderId="42" xfId="0" applyFill="1" applyBorder="1"/>
    <xf numFmtId="0" fontId="0" fillId="12" borderId="46" xfId="0" applyFill="1" applyBorder="1"/>
    <xf numFmtId="0" fontId="0" fillId="12" borderId="43" xfId="0" applyFill="1" applyBorder="1"/>
    <xf numFmtId="0" fontId="0" fillId="0" borderId="58" xfId="0" applyFont="1" applyBorder="1"/>
    <xf numFmtId="168" fontId="12" fillId="4" borderId="3" xfId="7" applyNumberFormat="1" applyFont="1" applyBorder="1" applyAlignment="1">
      <alignment horizontal="center" vertical="center"/>
    </xf>
    <xf numFmtId="167" fontId="12" fillId="4" borderId="17" xfId="7" applyNumberFormat="1" applyFont="1" applyBorder="1" applyAlignment="1">
      <alignment horizontal="center" vertical="center"/>
    </xf>
    <xf numFmtId="0" fontId="28" fillId="17" borderId="5" xfId="11" applyFont="1" applyFill="1" applyBorder="1" applyAlignment="1">
      <alignment horizontal="center" vertical="center"/>
    </xf>
    <xf numFmtId="0" fontId="28" fillId="15" borderId="50" xfId="0" applyFont="1" applyFill="1" applyBorder="1" applyAlignment="1">
      <alignment horizontal="center" vertical="center"/>
    </xf>
    <xf numFmtId="0" fontId="28" fillId="17" borderId="43" xfId="11" applyFont="1" applyFill="1" applyBorder="1" applyAlignment="1">
      <alignment horizontal="center" vertical="center"/>
    </xf>
    <xf numFmtId="0" fontId="28" fillId="17" borderId="46" xfId="11" applyFont="1" applyFill="1" applyBorder="1" applyAlignment="1">
      <alignment horizontal="center" vertical="center"/>
    </xf>
    <xf numFmtId="0" fontId="28" fillId="17" borderId="42" xfId="11" applyFont="1" applyFill="1" applyBorder="1" applyAlignment="1">
      <alignment horizontal="center" vertical="center"/>
    </xf>
    <xf numFmtId="0" fontId="28" fillId="17" borderId="40" xfId="11" applyFont="1" applyFill="1" applyBorder="1" applyAlignment="1">
      <alignment horizontal="center" vertical="center"/>
    </xf>
    <xf numFmtId="0" fontId="28" fillId="17" borderId="0" xfId="11" applyFont="1" applyFill="1" applyBorder="1" applyAlignment="1">
      <alignment horizontal="center" vertical="center"/>
    </xf>
    <xf numFmtId="0" fontId="28" fillId="17" borderId="39" xfId="11" applyFont="1" applyFill="1" applyBorder="1" applyAlignment="1">
      <alignment horizontal="center" vertical="center"/>
    </xf>
    <xf numFmtId="0" fontId="28" fillId="15" borderId="49" xfId="0" applyFont="1" applyFill="1" applyBorder="1" applyAlignment="1">
      <alignment horizontal="center" vertical="center"/>
    </xf>
    <xf numFmtId="0" fontId="28" fillId="17" borderId="37" xfId="11" applyFont="1" applyFill="1" applyBorder="1" applyAlignment="1">
      <alignment horizontal="center" vertical="center"/>
    </xf>
    <xf numFmtId="0" fontId="28" fillId="17" borderId="36" xfId="11" applyFont="1" applyFill="1" applyBorder="1" applyAlignment="1">
      <alignment horizontal="center" vertical="center"/>
    </xf>
    <xf numFmtId="0" fontId="28" fillId="17" borderId="35" xfId="11" applyFont="1" applyFill="1" applyBorder="1" applyAlignment="1">
      <alignment horizontal="center" vertical="center"/>
    </xf>
    <xf numFmtId="0" fontId="28" fillId="15" borderId="20" xfId="0" applyFont="1" applyFill="1" applyBorder="1" applyAlignment="1">
      <alignment horizontal="center" vertical="center"/>
    </xf>
    <xf numFmtId="0" fontId="28" fillId="15" borderId="48" xfId="0" applyFont="1" applyFill="1" applyBorder="1" applyAlignment="1">
      <alignment horizontal="center" vertical="center"/>
    </xf>
    <xf numFmtId="0" fontId="28" fillId="15" borderId="52" xfId="0" applyFont="1" applyFill="1" applyBorder="1" applyAlignment="1">
      <alignment horizontal="center" vertical="center"/>
    </xf>
  </cellXfs>
  <cellStyles count="13">
    <cellStyle name="Calculation" xfId="8" builtinId="22"/>
    <cellStyle name="Explanatory Text" xfId="9" builtinId="53"/>
    <cellStyle name="Good" xfId="5" builtinId="26"/>
    <cellStyle name="Heading 1" xfId="3" builtinId="16"/>
    <cellStyle name="Heading 2" xfId="12" builtinId="17"/>
    <cellStyle name="Heading 4" xfId="4" builtinId="19"/>
    <cellStyle name="Hyperlink" xfId="10" builtinId="8"/>
    <cellStyle name="Input" xfId="6" builtinId="20"/>
    <cellStyle name="Normal" xfId="0" builtinId="0"/>
    <cellStyle name="Note" xfId="11" builtinId="10"/>
    <cellStyle name="Output" xfId="7" builtinId="21"/>
    <cellStyle name="Percent" xfId="1" builtinId="5"/>
    <cellStyle name="Title" xfId="2" builtinId="15"/>
  </cellStyles>
  <dxfs count="341">
    <dxf>
      <alignment horizontal="general" vertical="center" textRotation="0" wrapText="1" indent="0" justifyLastLine="0" shrinkToFit="0" readingOrder="0"/>
    </dxf>
    <dxf>
      <alignment horizontal="general" vertical="center" textRotation="0" wrapText="1" indent="0" justifyLastLine="0" shrinkToFit="0" readingOrder="0"/>
    </dxf>
    <dxf>
      <font>
        <strike val="0"/>
        <outline val="0"/>
        <shadow val="0"/>
        <u val="none"/>
        <vertAlign val="baseline"/>
        <sz val="14"/>
        <color theme="1"/>
        <name val="Calibri"/>
        <family val="2"/>
        <scheme val="minor"/>
      </font>
      <numFmt numFmtId="30" formatCode="@"/>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horizontal="general" vertical="bottom"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i val="0"/>
        <strike val="0"/>
        <condense val="0"/>
        <extend val="0"/>
        <outline val="0"/>
        <shadow val="0"/>
        <u val="none"/>
        <vertAlign val="baseline"/>
        <sz val="14"/>
        <color rgb="FFFA7D00"/>
        <name val="Calibri"/>
        <family val="2"/>
        <scheme val="minor"/>
      </font>
      <alignment horizontal="center" vertical="center" textRotation="0" wrapText="0" indent="0" justifyLastLine="0" shrinkToFit="0" readingOrder="0"/>
    </dxf>
    <dxf>
      <border outline="0">
        <bottom style="thin">
          <color rgb="FF7F7F7F"/>
        </bottom>
      </border>
    </dxf>
    <dxf>
      <alignment horizontal="center" vertical="center" textRotation="0" wrapText="0" indent="0" justifyLastLine="0" shrinkToFit="0" readingOrder="0"/>
    </dxf>
    <dxf>
      <alignment horizontal="left" vertical="bottom" textRotation="0" wrapText="1" indent="0" justifyLastLine="0" shrinkToFit="0" readingOrder="0"/>
    </dxf>
    <dxf>
      <alignment horizontal="general" vertical="top" textRotation="0" wrapText="0" indent="0" justifyLastLine="0" shrinkToFit="0" readingOrder="0"/>
    </dxf>
    <dxf>
      <alignment vertical="top" textRotation="0" indent="0" justifyLastLine="0" shrinkToFit="0" readingOrder="0"/>
    </dxf>
    <dxf>
      <font>
        <strike val="0"/>
        <outline val="0"/>
        <shadow val="0"/>
        <u val="none"/>
        <vertAlign val="baseline"/>
        <sz val="14"/>
        <color theme="1"/>
        <name val="Calibri"/>
        <family val="2"/>
        <scheme val="minor"/>
      </font>
      <alignment horizontal="center" vertical="top" textRotation="0" wrapText="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fill>
        <patternFill patternType="none">
          <fgColor indexed="64"/>
          <bgColor auto="1"/>
        </patternFill>
      </fill>
      <alignment horizontal="general" vertical="top" textRotation="0" wrapText="1" indent="0" justifyLastLine="0" shrinkToFit="0" readingOrder="0"/>
    </dxf>
    <dxf>
      <alignment horizontal="center" vertical="top" textRotation="0" wrapText="0" indent="0" justifyLastLine="0" shrinkToFit="0" readingOrder="0"/>
    </dxf>
    <dxf>
      <alignment vertical="top" textRotation="0" indent="0" justifyLastLine="0" shrinkToFit="0" readingOrder="0"/>
    </dxf>
    <dxf>
      <alignment horizontal="general" vertical="bottom" textRotation="0" wrapText="1" indent="0" justifyLastLine="0" shrinkToFit="0" readingOrder="0"/>
    </dxf>
    <dxf>
      <numFmt numFmtId="13" formatCode="0%"/>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border outline="0">
        <left style="thin">
          <color rgb="FF3F3F3F"/>
        </left>
        <right/>
      </border>
    </dxf>
    <dxf>
      <numFmt numFmtId="0" formatCode="General"/>
      <alignment horizontal="center" vertical="center" textRotation="0" wrapText="0" indent="0" justifyLastLine="0" shrinkToFit="0" readingOrder="0"/>
    </dxf>
    <dxf>
      <font>
        <b/>
      </font>
      <border outline="0">
        <right style="thin">
          <color rgb="FF3F3F3F"/>
        </right>
      </border>
    </dxf>
    <dxf>
      <alignment horizontal="left" vertical="bottom" textRotation="0" wrapText="1" indent="0" justifyLastLine="0" shrinkToFit="0" readingOrder="0"/>
    </dxf>
    <dxf>
      <font>
        <b/>
        <strike val="0"/>
        <outline val="0"/>
        <shadow val="0"/>
        <u val="none"/>
        <vertAlign val="baseline"/>
        <sz val="14"/>
        <color rgb="FF3F3F3F"/>
        <name val="Calibri"/>
        <family val="2"/>
        <scheme val="minor"/>
      </font>
      <alignment horizontal="center" vertical="center" textRotation="0" wrapText="0" indent="0" justifyLastLine="0" shrinkToFit="0" readingOrder="0"/>
      <border outline="0">
        <left style="thin">
          <color rgb="FF3F3F3F"/>
        </left>
      </border>
    </dxf>
    <dxf>
      <font>
        <strike val="0"/>
        <outline val="0"/>
        <shadow val="0"/>
        <u val="none"/>
        <vertAlign val="baseline"/>
        <sz val="14"/>
        <color rgb="FF3F3F3F"/>
        <name val="Calibri"/>
        <family val="2"/>
        <scheme val="minor"/>
      </font>
      <alignment horizontal="center" vertical="center" textRotation="0" wrapText="0" indent="0" justifyLastLine="0" shrinkToFit="0" readingOrder="0"/>
      <border outline="0">
        <left style="thin">
          <color rgb="FF3F3F3F"/>
        </left>
      </border>
    </dxf>
    <dxf>
      <font>
        <strike val="0"/>
        <outline val="0"/>
        <shadow val="0"/>
        <u val="none"/>
        <vertAlign val="baseline"/>
        <sz val="14"/>
        <color rgb="FF3F3F3F"/>
        <name val="Calibri"/>
        <family val="2"/>
        <scheme val="minor"/>
      </font>
      <alignment horizontal="center" vertical="center" textRotation="0" wrapText="0" indent="0" justifyLastLine="0" shrinkToFit="0" readingOrder="0"/>
      <border outline="0">
        <left style="thin">
          <color rgb="FF3F3F3F"/>
        </left>
        <right style="thin">
          <color rgb="FF3F3F3F"/>
        </right>
      </border>
    </dxf>
    <dxf>
      <font>
        <strike val="0"/>
        <outline val="0"/>
        <shadow val="0"/>
        <u val="none"/>
        <vertAlign val="baseline"/>
        <sz val="14"/>
        <color rgb="FF3F3F3F"/>
        <name val="Calibri"/>
        <family val="2"/>
        <scheme val="minor"/>
      </font>
      <alignment horizontal="center" vertical="center" textRotation="0" wrapText="0" indent="0" justifyLastLine="0" shrinkToFit="0" readingOrder="0"/>
      <border outline="0">
        <right style="thin">
          <color rgb="FF3F3F3F"/>
        </right>
      </border>
    </dxf>
    <dxf>
      <font>
        <strike val="0"/>
        <outline val="0"/>
        <shadow val="0"/>
        <u val="none"/>
        <vertAlign val="baseline"/>
        <sz val="18"/>
        <name val="Calibri"/>
        <family val="2"/>
        <scheme val="minor"/>
      </font>
      <alignment horizontal="center" vertical="center" textRotation="0" wrapText="0" indent="0" justifyLastLine="0" shrinkToFit="0" readingOrder="0"/>
      <border outline="0">
        <right style="thin">
          <color rgb="FF3F3F3F"/>
        </right>
      </border>
    </dxf>
    <dxf>
      <border outline="0">
        <bottom style="thin">
          <color rgb="FF7F7F7F"/>
        </bottom>
      </border>
    </dxf>
    <dxf>
      <alignment horizontal="center" vertical="center" textRotation="0" wrapText="0" indent="0" justifyLastLine="0" shrinkToFit="0" readingOrder="0"/>
    </dxf>
    <dxf>
      <alignment horizontal="general" vertical="bottom" textRotation="0" wrapText="1" indent="0" justifyLastLine="0" shrinkToFit="0" readingOrder="0"/>
    </dxf>
    <dxf>
      <font>
        <b/>
        <color rgb="FFFA7D00"/>
      </font>
      <numFmt numFmtId="165" formatCode="0.0%"/>
      <fill>
        <patternFill patternType="solid">
          <fgColor indexed="64"/>
          <bgColor rgb="FFF2F2F2"/>
        </patternFill>
      </fill>
      <alignment horizontal="center" vertical="center" textRotation="0" wrapText="0" indent="0" justifyLastLine="0" shrinkToFit="0" readingOrder="0"/>
      <border diagonalUp="0" diagonalDown="0">
        <left style="thin">
          <color rgb="FF7F7F7F"/>
        </left>
        <right style="thin">
          <color rgb="FF7F7F7F"/>
        </right>
        <top style="thin">
          <color rgb="FF7F7F7F"/>
        </top>
        <bottom style="thin">
          <color rgb="FF7F7F7F"/>
        </bottom>
        <vertical/>
        <horizontal/>
      </border>
    </dxf>
    <dxf>
      <font>
        <b/>
        <i val="0"/>
        <strike val="0"/>
        <condense val="0"/>
        <extend val="0"/>
        <outline val="0"/>
        <shadow val="0"/>
        <u val="none"/>
        <vertAlign val="baseline"/>
        <sz val="12"/>
        <color rgb="FF3F3F3F"/>
        <name val="Calibri"/>
        <family val="2"/>
        <scheme val="minor"/>
      </font>
      <numFmt numFmtId="167" formatCode="0;\-0;;@"/>
      <alignment horizontal="center" vertical="center" textRotation="0" wrapText="0" indent="0" justifyLastLine="0" shrinkToFit="0" readingOrder="0"/>
      <border>
        <right style="thin">
          <color rgb="FF7F7F7F"/>
        </right>
      </border>
    </dxf>
    <dxf>
      <font>
        <strike val="0"/>
        <outline val="0"/>
        <shadow val="0"/>
        <u val="none"/>
        <vertAlign val="baseline"/>
        <sz val="12"/>
        <color rgb="FF3F3F3F"/>
        <name val="Calibri"/>
        <family val="2"/>
        <scheme val="minor"/>
      </font>
      <numFmt numFmtId="168" formatCode="0.00;\-0.00;;@"/>
      <alignment horizontal="center" vertical="center" textRotation="0" wrapText="0" indent="0" justifyLastLine="0" shrinkToFit="0" readingOrder="0"/>
      <border>
        <right style="thin">
          <color rgb="FF3F3F3F"/>
        </right>
      </border>
    </dxf>
    <dxf>
      <numFmt numFmtId="167" formatCode="0;\-0;;@"/>
      <alignment horizontal="center" vertical="center" textRotation="0" wrapText="0" indent="0" justifyLastLine="0" shrinkToFit="0" readingOrder="0"/>
    </dxf>
    <dxf>
      <border outline="0">
        <left style="thin">
          <color rgb="FF7F7F7F"/>
        </left>
        <right style="thin">
          <color rgb="FF3F3F3F"/>
        </right>
      </border>
    </dxf>
    <dxf>
      <font>
        <strike val="0"/>
        <outline val="0"/>
        <shadow val="0"/>
        <u val="none"/>
        <vertAlign val="baseline"/>
        <sz val="12"/>
        <color rgb="FF3F3F3F"/>
        <name val="Calibri"/>
        <family val="2"/>
        <scheme val="minor"/>
      </font>
      <numFmt numFmtId="167" formatCode="0;\-0;;@"/>
      <alignment horizontal="center" vertical="center" textRotation="0" wrapText="0" indent="0" justifyLastLine="0" shrinkToFit="0" readingOrder="0"/>
    </dxf>
    <dxf>
      <border outline="0">
        <left style="thin">
          <color rgb="FF7F7F7F"/>
        </left>
        <right style="thin">
          <color rgb="FF3F3F3F"/>
        </right>
      </border>
    </dxf>
    <dxf>
      <font>
        <b/>
        <strike val="0"/>
        <outline val="0"/>
        <shadow val="0"/>
        <u val="none"/>
        <vertAlign val="baseline"/>
        <sz val="12"/>
        <color rgb="FF3F3F76"/>
        <name val="Calibri"/>
        <family val="2"/>
        <scheme val="minor"/>
      </font>
      <numFmt numFmtId="167" formatCode="0;\-0;;@"/>
      <alignment horizontal="center" vertical="center" textRotation="0" wrapText="0" indent="0" justifyLastLine="0" shrinkToFit="0" readingOrder="0"/>
    </dxf>
    <dxf>
      <numFmt numFmtId="170" formatCode="0.0"/>
    </dxf>
    <dxf>
      <numFmt numFmtId="0" formatCode="General"/>
    </dxf>
    <dxf>
      <numFmt numFmtId="170" formatCode="0.0"/>
    </dxf>
    <dxf>
      <numFmt numFmtId="0" formatCode="General"/>
      <alignment horizontal="center" vertical="center" textRotation="0" wrapText="0" indent="0" justifyLastLine="0" shrinkToFit="0" readingOrder="0"/>
    </dxf>
    <dxf>
      <numFmt numFmtId="2" formatCode="0.00"/>
      <alignment horizontal="center" vertical="center" textRotation="0" wrapText="0" indent="0" justifyLastLine="0" shrinkToFit="0" readingOrder="0"/>
    </dxf>
    <dxf>
      <numFmt numFmtId="13" formatCode="0%"/>
    </dxf>
    <dxf>
      <numFmt numFmtId="13" formatCode="0%"/>
    </dxf>
    <dxf>
      <numFmt numFmtId="0" formatCode="General"/>
    </dxf>
    <dxf>
      <font>
        <b val="0"/>
        <i val="0"/>
        <strike val="0"/>
        <condense val="0"/>
        <extend val="0"/>
        <outline val="0"/>
        <shadow val="0"/>
        <u val="none"/>
        <vertAlign val="baseline"/>
        <sz val="11"/>
        <color theme="1"/>
        <name val="Calibri"/>
        <family val="2"/>
        <scheme val="minor"/>
      </font>
      <border diagonalUp="0" diagonalDown="0">
        <left/>
        <right/>
        <top style="thin">
          <color theme="6"/>
        </top>
        <bottom/>
        <vertical/>
        <horizontal/>
      </border>
    </dxf>
    <dxf>
      <alignment horizontal="general" vertical="bottom" textRotation="0" wrapText="1" indent="0" justifyLastLine="0" shrinkToFit="0" readingOrder="0"/>
    </dxf>
    <dxf>
      <numFmt numFmtId="167" formatCode="0;\-0;;@"/>
      <alignment horizontal="center" vertical="center" textRotation="0" wrapText="0" indent="0" justifyLastLine="0" shrinkToFit="0" readingOrder="0"/>
    </dxf>
    <dxf>
      <numFmt numFmtId="167" formatCode="0;\-0;;@"/>
      <alignment horizontal="center" vertical="center" textRotation="0" wrapText="0" indent="0" justifyLastLine="0" shrinkToFit="0" readingOrder="0"/>
    </dxf>
    <dxf>
      <font>
        <b/>
        <i val="0"/>
        <strike val="0"/>
        <condense val="0"/>
        <extend val="0"/>
        <outline val="0"/>
        <shadow val="0"/>
        <u val="none"/>
        <vertAlign val="baseline"/>
        <sz val="12"/>
        <color rgb="FF3F3F76"/>
        <name val="Calibri"/>
        <family val="2"/>
        <scheme val="minor"/>
      </font>
      <numFmt numFmtId="167" formatCode="0;\-0;;@"/>
      <alignment horizontal="center" vertical="center" textRotation="0" wrapText="0" indent="0" justifyLastLine="0" shrinkToFit="0" readingOrder="0"/>
    </dxf>
    <dxf>
      <numFmt numFmtId="167" formatCode="0;\-0;;@"/>
      <alignment horizontal="center" vertical="center" textRotation="0" wrapText="0" indent="0" justifyLastLine="0" shrinkToFit="0" readingOrder="0"/>
      <border>
        <left style="thin">
          <color rgb="FF7F7F7F"/>
        </left>
      </border>
    </dxf>
    <dxf>
      <numFmt numFmtId="167" formatCode="0;\-0;;@"/>
      <alignment horizontal="center" vertical="center" textRotation="0" wrapText="0" indent="0" justifyLastLine="0" shrinkToFit="0" readingOrder="0"/>
      <border>
        <right style="thin">
          <color rgb="FF7F7F7F"/>
        </right>
      </border>
    </dxf>
    <dxf>
      <border outline="0">
        <left style="thin">
          <color rgb="FF7F7F7F"/>
        </left>
        <right style="thin">
          <color rgb="FF7F7F7F"/>
        </right>
      </border>
    </dxf>
    <dxf>
      <font>
        <b/>
        <strike val="0"/>
        <outline val="0"/>
        <shadow val="0"/>
        <u val="none"/>
        <vertAlign val="baseline"/>
        <sz val="12"/>
        <color rgb="FF3F3F76"/>
        <name val="Calibri"/>
        <family val="2"/>
        <scheme val="minor"/>
      </font>
      <numFmt numFmtId="167" formatCode="0;\-0;;@"/>
      <alignment horizontal="center" vertical="center" textRotation="0" wrapText="0" indent="0" justifyLastLine="0" shrinkToFit="0" readingOrder="0"/>
    </dxf>
    <dxf>
      <alignment horizontal="general" vertical="bottom" textRotation="0" wrapText="1" indent="0" justifyLastLine="0" shrinkToFit="0" readingOrder="0"/>
    </dxf>
    <dxf>
      <numFmt numFmtId="1" formatCode="0"/>
    </dxf>
    <dxf>
      <alignment horizontal="general" vertical="bottom" textRotation="0" wrapText="1" indent="0" justifyLastLine="0" shrinkToFit="0" readingOrder="0"/>
    </dxf>
    <dxf>
      <fill>
        <patternFill patternType="none">
          <fgColor indexed="64"/>
          <bgColor indexed="65"/>
        </patternFill>
      </fill>
    </dxf>
    <dxf>
      <numFmt numFmtId="0" formatCode="General"/>
    </dxf>
    <dxf>
      <numFmt numFmtId="0" formatCode="General"/>
    </dxf>
    <dxf>
      <numFmt numFmtId="0" formatCode="General"/>
      <border diagonalUp="0" diagonalDown="0">
        <left style="thin">
          <color rgb="FF7F7F7F"/>
        </left>
        <right style="thin">
          <color rgb="FF7F7F7F"/>
        </right>
        <top style="thin">
          <color rgb="FF7F7F7F"/>
        </top>
        <bottom/>
        <vertical/>
        <horizontal/>
      </border>
    </dxf>
    <dxf>
      <numFmt numFmtId="0" formatCode="General"/>
    </dxf>
    <dxf>
      <border outline="0">
        <top style="thin">
          <color theme="6"/>
        </top>
      </border>
    </dxf>
    <dxf>
      <numFmt numFmtId="170" formatCode="0.0"/>
      <alignment horizontal="general" vertical="bottom" textRotation="0" wrapText="1" indent="0" justifyLastLine="0" shrinkToFit="0" readingOrder="0"/>
    </dxf>
    <dxf>
      <numFmt numFmtId="2" formatCode="0.00"/>
    </dxf>
    <dxf>
      <numFmt numFmtId="2" formatCode="0.00"/>
    </dxf>
    <dxf>
      <numFmt numFmtId="2" formatCode="0.00"/>
      <alignment horizontal="general" vertical="bottom" textRotation="0" wrapText="1" indent="0" justifyLastLine="0" shrinkToFit="0" readingOrder="0"/>
    </dxf>
    <dxf>
      <numFmt numFmtId="2" formatCode="0.00"/>
      <alignment horizontal="general" vertical="bottom" textRotation="0" wrapText="1" indent="0" justifyLastLine="0" shrinkToFit="0" readingOrder="0"/>
    </dxf>
    <dxf>
      <numFmt numFmtId="170" formatCode="0.0"/>
    </dxf>
    <dxf>
      <numFmt numFmtId="2" formatCode="0.00"/>
    </dxf>
    <dxf>
      <numFmt numFmtId="2" formatCode="0.00"/>
    </dxf>
    <dxf>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alignment horizontal="general" vertical="bottom" textRotation="0" wrapText="1" indent="0" justifyLastLine="0" shrinkToFit="0" readingOrder="0"/>
    </dxf>
    <dxf>
      <numFmt numFmtId="168" formatCode="0.00;\-0.00;;@"/>
      <alignment horizontal="center" vertical="center" textRotation="0" wrapText="0" indent="0" justifyLastLine="0" shrinkToFit="0" readingOrder="0"/>
    </dxf>
    <dxf>
      <font>
        <b/>
        <strike val="0"/>
        <outline val="0"/>
        <shadow val="0"/>
        <u val="none"/>
        <vertAlign val="baseline"/>
        <sz val="16"/>
        <color rgb="FF3F3F3F"/>
        <name val="Calibri"/>
        <family val="2"/>
        <scheme val="minor"/>
      </font>
      <numFmt numFmtId="13" formatCode="0%"/>
      <fill>
        <patternFill patternType="solid">
          <fgColor indexed="64"/>
          <bgColor rgb="FFF2F2F2"/>
        </patternFill>
      </fill>
      <alignment horizontal="center" vertical="center" textRotation="0" wrapText="0" indent="0" justifyLastLine="0" shrinkToFit="0" readingOrder="0"/>
      <border diagonalUp="0" diagonalDown="0">
        <left style="thin">
          <color rgb="FF3F3F3F"/>
        </left>
        <right style="thin">
          <color rgb="FF3F3F3F"/>
        </right>
        <top style="thin">
          <color rgb="FF3F3F3F"/>
        </top>
        <bottom style="thin">
          <color rgb="FF3F3F3F"/>
        </bottom>
        <vertical/>
        <horizontal/>
      </border>
    </dxf>
    <dxf>
      <font>
        <b/>
        <strike val="0"/>
        <outline val="0"/>
        <shadow val="0"/>
        <u val="none"/>
        <vertAlign val="baseline"/>
        <sz val="16"/>
        <color rgb="FF3F3F3F"/>
        <name val="Calibri"/>
        <family val="2"/>
        <scheme val="minor"/>
      </font>
      <numFmt numFmtId="168" formatCode="0.00;\-0.00;;@"/>
      <alignment horizontal="center" vertical="center" textRotation="0" wrapText="0" indent="0" justifyLastLine="0" shrinkToFit="0" readingOrder="0"/>
      <border>
        <left style="thin">
          <color rgb="FF3F3F3F"/>
        </left>
        <right style="thin">
          <color rgb="FF3F3F3F"/>
        </right>
      </border>
    </dxf>
    <dxf>
      <font>
        <b/>
        <sz val="16"/>
        <color rgb="FF3F3F3F"/>
      </font>
      <numFmt numFmtId="168" formatCode="0.00;\-0.00;;@"/>
      <alignment horizontal="center" vertical="center" textRotation="0" wrapText="0" indent="0" justifyLastLine="0" shrinkToFit="0" readingOrder="0"/>
      <border>
        <right style="thin">
          <color rgb="FF3F3F3F"/>
        </right>
      </border>
    </dxf>
    <dxf>
      <numFmt numFmtId="0" formatCode="General"/>
      <border outline="0">
        <right style="thin">
          <color rgb="FF3F3F3F"/>
        </right>
      </border>
    </dxf>
    <dxf>
      <numFmt numFmtId="0" formatCode="General"/>
      <border diagonalUp="0" diagonalDown="0">
        <left/>
        <right style="thin">
          <color rgb="FF3F3F3F"/>
        </right>
        <top style="thin">
          <color rgb="FF7F7F7F"/>
        </top>
        <bottom style="thin">
          <color rgb="FF7F7F7F"/>
        </bottom>
      </border>
    </dxf>
    <dxf>
      <font>
        <b/>
        <strike val="0"/>
        <outline val="0"/>
        <shadow val="0"/>
        <u val="none"/>
        <vertAlign val="baseline"/>
        <sz val="16"/>
        <color rgb="FF3F3F76"/>
        <name val="Calibri"/>
        <family val="2"/>
        <scheme val="minor"/>
      </font>
    </dxf>
    <dxf>
      <font>
        <b/>
        <strike val="0"/>
        <outline val="0"/>
        <shadow val="0"/>
        <u val="none"/>
        <vertAlign val="baseline"/>
        <sz val="16"/>
        <color rgb="FF3F3F76"/>
        <name val="Calibri"/>
        <family val="2"/>
        <scheme val="minor"/>
      </font>
    </dxf>
    <dxf>
      <numFmt numFmtId="167" formatCode="0;\-0;;@"/>
      <alignment horizontal="center" vertical="center" textRotation="0" wrapText="0" indent="0" justifyLastLine="0" shrinkToFit="0" readingOrder="0"/>
    </dxf>
    <dxf>
      <numFmt numFmtId="167" formatCode="0;\-0;;@"/>
      <alignment horizontal="center" vertical="center" textRotation="0" wrapText="0" indent="0" justifyLastLine="0" shrinkToFit="0" readingOrder="0"/>
    </dxf>
    <dxf>
      <border outline="0">
        <top style="thin">
          <color rgb="FFED7D31"/>
        </top>
      </border>
    </dxf>
    <dxf>
      <font>
        <b/>
        <i val="0"/>
        <strike val="0"/>
        <condense val="0"/>
        <extend val="0"/>
        <outline val="0"/>
        <shadow val="0"/>
        <u val="none"/>
        <vertAlign val="baseline"/>
        <sz val="16"/>
        <color rgb="FF3F3F3F"/>
        <name val="Calibri"/>
        <family val="2"/>
        <scheme val="none"/>
      </font>
      <fill>
        <patternFill patternType="solid">
          <fgColor rgb="FF000000"/>
          <bgColor rgb="FFF2F2F2"/>
        </patternFill>
      </fill>
      <alignment horizontal="center" vertical="center" textRotation="0" wrapText="0" indent="0" justifyLastLine="0" shrinkToFit="0" readingOrder="0"/>
    </dxf>
    <dxf>
      <numFmt numFmtId="168" formatCode="0.00;\-0.0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font>
        <b/>
        <i val="0"/>
        <strike val="0"/>
        <condense val="0"/>
        <extend val="0"/>
        <outline val="0"/>
        <shadow val="0"/>
        <u val="none"/>
        <vertAlign val="baseline"/>
        <sz val="16"/>
        <color rgb="FF3F3F3F"/>
        <name val="Calibri"/>
        <family val="2"/>
        <scheme val="minor"/>
      </font>
      <numFmt numFmtId="13" formatCode="0%"/>
      <fill>
        <patternFill patternType="solid">
          <fgColor indexed="64"/>
          <bgColor rgb="FFF2F2F2"/>
        </patternFill>
      </fill>
      <alignment horizontal="center" vertical="center" textRotation="0" wrapText="0" indent="0" justifyLastLine="0" shrinkToFit="0" readingOrder="0"/>
    </dxf>
    <dxf>
      <font>
        <b/>
        <i val="0"/>
        <strike val="0"/>
        <condense val="0"/>
        <extend val="0"/>
        <outline val="0"/>
        <shadow val="0"/>
        <u val="none"/>
        <vertAlign val="baseline"/>
        <sz val="16"/>
        <color rgb="FF3F3F3F"/>
        <name val="Calibri"/>
        <family val="2"/>
        <scheme val="minor"/>
      </font>
      <numFmt numFmtId="13" formatCode="0%"/>
      <fill>
        <patternFill patternType="solid">
          <fgColor indexed="64"/>
          <bgColor rgb="FFF2F2F2"/>
        </patternFill>
      </fill>
      <alignment horizontal="center" vertical="center" textRotation="0" wrapText="0" indent="0" justifyLastLine="0" shrinkToFit="0" readingOrder="0"/>
    </dxf>
    <dxf>
      <font>
        <b/>
        <i val="0"/>
        <strike val="0"/>
        <condense val="0"/>
        <extend val="0"/>
        <outline val="0"/>
        <shadow val="0"/>
        <u val="none"/>
        <vertAlign val="baseline"/>
        <sz val="16"/>
        <color rgb="FF3F3F3F"/>
        <name val="Calibri"/>
        <family val="2"/>
        <scheme val="minor"/>
      </font>
      <numFmt numFmtId="13" formatCode="0%"/>
      <fill>
        <patternFill patternType="solid">
          <fgColor indexed="64"/>
          <bgColor rgb="FFF2F2F2"/>
        </patternFill>
      </fill>
      <alignment horizontal="center" vertical="center" textRotation="0" wrapText="0" indent="0" justifyLastLine="0" shrinkToFit="0" readingOrder="0"/>
    </dxf>
    <dxf>
      <font>
        <b/>
        <i val="0"/>
        <strike val="0"/>
        <condense val="0"/>
        <extend val="0"/>
        <outline val="0"/>
        <shadow val="0"/>
        <u val="none"/>
        <vertAlign val="baseline"/>
        <sz val="16"/>
        <color rgb="FF3F3F76"/>
        <name val="Calibri"/>
        <family val="2"/>
        <scheme val="minor"/>
      </font>
      <numFmt numFmtId="167" formatCode="0;\-0;;@"/>
      <fill>
        <patternFill patternType="solid">
          <fgColor indexed="64"/>
          <bgColor rgb="FFFFCC99"/>
        </patternFill>
      </fill>
      <alignment horizontal="center" vertical="center" textRotation="0" wrapText="0" indent="0" justifyLastLine="0" shrinkToFit="0" readingOrder="0"/>
      <border diagonalUp="0" diagonalDown="0" outline="0">
        <left style="thin">
          <color rgb="FF7F7F7F"/>
        </left>
        <right style="thin">
          <color rgb="FF7F7F7F"/>
        </right>
        <top style="thin">
          <color rgb="FF7F7F7F"/>
        </top>
        <bottom style="thin">
          <color rgb="FF7F7F7F"/>
        </bottom>
      </border>
    </dxf>
    <dxf>
      <font>
        <b/>
        <i val="0"/>
        <strike val="0"/>
        <condense val="0"/>
        <extend val="0"/>
        <outline val="0"/>
        <shadow val="0"/>
        <u val="none"/>
        <vertAlign val="baseline"/>
        <sz val="16"/>
        <color rgb="FF3F3F76"/>
        <name val="Calibri"/>
        <family val="2"/>
        <scheme val="minor"/>
      </font>
      <numFmt numFmtId="167" formatCode="0;\-0;;@"/>
      <fill>
        <patternFill patternType="solid">
          <fgColor indexed="64"/>
          <bgColor rgb="FFFFCC99"/>
        </patternFill>
      </fill>
      <alignment horizontal="center" vertical="center" textRotation="0" wrapText="0" indent="0" justifyLastLine="0" shrinkToFit="0" readingOrder="0"/>
      <border diagonalUp="0" diagonalDown="0">
        <left style="thin">
          <color rgb="FF7F7F7F"/>
        </left>
        <right style="thin">
          <color rgb="FF7F7F7F"/>
        </right>
        <top style="thin">
          <color rgb="FF7F7F7F"/>
        </top>
        <bottom style="thin">
          <color rgb="FF7F7F7F"/>
        </bottom>
        <vertical/>
        <horizontal/>
      </border>
    </dxf>
    <dxf>
      <border outline="0">
        <top style="thin">
          <color rgb="FFED7D31"/>
        </top>
      </border>
    </dxf>
    <dxf>
      <font>
        <b/>
        <i val="0"/>
        <strike val="0"/>
        <condense val="0"/>
        <extend val="0"/>
        <outline val="0"/>
        <shadow val="0"/>
        <u val="none"/>
        <vertAlign val="baseline"/>
        <sz val="16"/>
        <color rgb="FF3F3F3F"/>
        <name val="Calibri"/>
        <family val="2"/>
        <scheme val="none"/>
      </font>
      <fill>
        <patternFill patternType="solid">
          <fgColor rgb="FF000000"/>
          <bgColor rgb="FFF2F2F2"/>
        </patternFill>
      </fill>
      <alignment horizontal="center" vertical="center" textRotation="0" wrapText="0" indent="0" justifyLastLine="0" shrinkToFit="0" readingOrder="0"/>
    </dxf>
    <dxf>
      <alignment horizontal="center" vertical="center" textRotation="0" wrapText="0" indent="0" justifyLastLine="0" shrinkToFit="0" readingOrder="0"/>
    </dxf>
    <dxf>
      <font>
        <b/>
        <sz val="16"/>
        <color rgb="FF3F3F3F"/>
      </font>
      <numFmt numFmtId="167" formatCode="0;\-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6"/>
        <color rgb="FF3F3F3F"/>
        <name val="Calibri"/>
        <family val="2"/>
        <scheme val="minor"/>
      </font>
      <numFmt numFmtId="167" formatCode="0;\-0;;@"/>
      <alignment horizontal="center" vertical="center" textRotation="0" wrapText="0" indent="0" justifyLastLine="0" shrinkToFit="0" readingOrder="0"/>
    </dxf>
    <dxf>
      <font>
        <b/>
        <i val="0"/>
        <strike val="0"/>
        <condense val="0"/>
        <extend val="0"/>
        <outline val="0"/>
        <shadow val="0"/>
        <u val="none"/>
        <vertAlign val="baseline"/>
        <sz val="16"/>
        <color rgb="FF3F3F3F"/>
        <name val="Calibri"/>
        <family val="2"/>
        <scheme val="minor"/>
      </font>
      <numFmt numFmtId="167" formatCode="0;\-0;;@"/>
      <fill>
        <patternFill patternType="none">
          <fgColor indexed="64"/>
          <bgColor indexed="65"/>
        </patternFill>
      </fill>
      <alignment horizontal="center" vertical="center" textRotation="0" wrapText="0" indent="0" justifyLastLine="0" shrinkToFit="0" readingOrder="0"/>
      <border>
        <left style="thin">
          <color rgb="FF7F7F7F"/>
        </left>
      </border>
    </dxf>
    <dxf>
      <numFmt numFmtId="175" formatCode="0%;\-0%;;@"/>
      <alignment horizontal="center" vertical="center" textRotation="0" wrapText="0" indent="0" justifyLastLine="0" shrinkToFit="0" readingOrder="0"/>
    </dxf>
    <dxf>
      <font>
        <strike val="0"/>
        <outline val="0"/>
        <shadow val="0"/>
        <u val="none"/>
        <vertAlign val="baseline"/>
        <sz val="11"/>
        <color auto="1"/>
        <name val="Calibri"/>
        <family val="2"/>
        <scheme val="minor"/>
      </font>
      <numFmt numFmtId="175" formatCode="0%;\-0%;;@"/>
      <fill>
        <patternFill patternType="none">
          <fgColor indexed="64"/>
          <bgColor auto="1"/>
        </patternFill>
      </fill>
      <alignment horizontal="center" vertical="center" textRotation="0" wrapText="0" indent="0" justifyLastLine="0" shrinkToFit="0" readingOrder="0"/>
      <border outline="0">
        <left style="thin">
          <color rgb="FF7F7F7F"/>
        </left>
        <right style="thin">
          <color rgb="FF7F7F7F"/>
        </right>
      </border>
    </dxf>
    <dxf>
      <font>
        <strike val="0"/>
        <outline val="0"/>
        <shadow val="0"/>
        <u val="none"/>
        <vertAlign val="baseline"/>
        <sz val="16"/>
        <color rgb="FFFA7D00"/>
        <name val="Calibri"/>
        <family val="2"/>
        <scheme val="minor"/>
      </font>
      <numFmt numFmtId="167" formatCode="0;\-0;;@"/>
      <alignment horizontal="center" vertical="center" textRotation="0" wrapText="0" indent="0" justifyLastLine="0" shrinkToFit="0" readingOrder="0"/>
      <border outline="0">
        <right style="thin">
          <color rgb="FF7F7F7F"/>
        </right>
      </border>
    </dxf>
    <dxf>
      <numFmt numFmtId="167" formatCode="0;\-0;;@"/>
      <alignment horizontal="center" vertical="center" textRotation="0" wrapText="0" indent="0" justifyLastLine="0" shrinkToFit="0" readingOrder="0"/>
      <border outline="0">
        <right style="thin">
          <color rgb="FF7F7F7F"/>
        </right>
      </border>
    </dxf>
    <dxf>
      <numFmt numFmtId="167" formatCode="0;\-0;;@"/>
      <alignment horizontal="center" vertical="center" textRotation="0" wrapText="0" indent="0" justifyLastLine="0" shrinkToFit="0" readingOrder="0"/>
    </dxf>
    <dxf>
      <font>
        <strike val="0"/>
        <outline val="0"/>
        <shadow val="0"/>
        <u val="none"/>
        <vertAlign val="baseline"/>
        <sz val="16"/>
        <color rgb="FF3F3F3F"/>
        <name val="Calibri"/>
        <family val="2"/>
        <scheme val="minor"/>
      </font>
      <numFmt numFmtId="167" formatCode="0;\-0;;@"/>
      <alignment horizontal="center" vertical="center" textRotation="0" wrapText="0" indent="0" justifyLastLine="0" shrinkToFit="0" readingOrder="0"/>
      <border outline="0">
        <left style="thin">
          <color rgb="FF3F3F3F"/>
        </left>
      </border>
    </dxf>
    <dxf>
      <font>
        <strike val="0"/>
        <outline val="0"/>
        <shadow val="0"/>
        <u val="none"/>
        <vertAlign val="baseline"/>
        <sz val="16"/>
        <color rgb="FF3F3F3F"/>
        <name val="Calibri"/>
        <family val="2"/>
        <scheme val="minor"/>
      </font>
      <numFmt numFmtId="167" formatCode="0;\-0;;@"/>
      <alignment horizontal="center" vertical="center" textRotation="0" wrapText="0" indent="0" justifyLastLine="0" shrinkToFit="0" readingOrder="0"/>
      <border outline="0">
        <left style="thin">
          <color rgb="FF3F3F3F"/>
        </left>
        <right style="thin">
          <color rgb="FF3F3F3F"/>
        </right>
      </border>
    </dxf>
    <dxf>
      <font>
        <strike val="0"/>
        <outline val="0"/>
        <shadow val="0"/>
        <u val="none"/>
        <vertAlign val="baseline"/>
        <sz val="16"/>
        <color rgb="FF3F3F3F"/>
        <name val="Calibri"/>
        <family val="2"/>
        <scheme val="minor"/>
      </font>
      <numFmt numFmtId="167" formatCode="0;\-0;;@"/>
      <alignment horizontal="center" vertical="center" textRotation="0" wrapText="0" indent="0" justifyLastLine="0" shrinkToFit="0" readingOrder="0"/>
      <border outline="0">
        <right style="thin">
          <color rgb="FF3F3F3F"/>
        </right>
      </border>
    </dxf>
    <dxf>
      <alignment horizontal="general" vertical="center" textRotation="0" wrapText="0" indent="0" justifyLastLine="0" shrinkToFit="0" readingOrder="0"/>
      <border outline="0">
        <right style="thin">
          <color rgb="FF3F3F3F"/>
        </right>
      </border>
    </dxf>
    <dxf>
      <border outline="0">
        <top style="thin">
          <color rgb="FFED7D31"/>
        </top>
      </border>
    </dxf>
    <dxf>
      <font>
        <b/>
        <i val="0"/>
        <strike val="0"/>
        <condense val="0"/>
        <extend val="0"/>
        <outline val="0"/>
        <shadow val="0"/>
        <u val="none"/>
        <vertAlign val="baseline"/>
        <sz val="11"/>
        <color theme="0"/>
        <name val="Calibri"/>
        <family val="2"/>
        <scheme val="minor"/>
      </font>
      <fill>
        <patternFill patternType="solid">
          <fgColor theme="5"/>
          <bgColor theme="5"/>
        </patternFill>
      </fill>
      <alignment horizontal="general" vertical="bottom" textRotation="0" wrapText="1" indent="0" justifyLastLine="0" shrinkToFit="0" readingOrder="0"/>
    </dxf>
    <dxf>
      <numFmt numFmtId="0" formatCode="General"/>
    </dxf>
    <dxf>
      <numFmt numFmtId="167" formatCode="0;\-0;;@"/>
      <alignment horizontal="center" vertical="center" textRotation="0" wrapText="0" indent="0" justifyLastLine="0" shrinkToFit="0" readingOrder="0"/>
    </dxf>
    <dxf>
      <numFmt numFmtId="167" formatCode="0;\-0;;@"/>
      <alignment horizontal="center" vertical="center" textRotation="0" wrapText="0" indent="0" justifyLastLine="0" shrinkToFit="0" readingOrder="0"/>
      <border>
        <left style="thin">
          <color rgb="FF7F7F7F"/>
        </left>
      </border>
    </dxf>
    <dxf>
      <numFmt numFmtId="167" formatCode="0;\-0;;@"/>
      <alignment horizontal="center" vertical="center" textRotation="0" wrapText="0" indent="0" justifyLastLine="0" shrinkToFit="0" readingOrder="0"/>
    </dxf>
    <dxf>
      <border diagonalUp="0" diagonalDown="0">
        <left/>
        <right style="thin">
          <color rgb="FF7F7F7F"/>
        </right>
        <top/>
        <bottom/>
        <vertical/>
        <horizontal/>
      </border>
    </dxf>
    <dxf>
      <alignment horizontal="general" vertical="bottom" textRotation="0" wrapText="1" indent="0" justifyLastLine="0" shrinkToFit="0" readingOrder="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6" formatCode="0;0;;@\ "/>
      <border outline="0">
        <left style="thin">
          <color rgb="FF3F3F3F"/>
        </left>
      </border>
    </dxf>
    <dxf>
      <numFmt numFmtId="13" formatCode="0%"/>
    </dxf>
    <dxf>
      <numFmt numFmtId="167" formatCode="0;\-0;;@"/>
      <border diagonalUp="0" diagonalDown="0">
        <left style="thin">
          <color rgb="FF7F7F7F"/>
        </left>
        <right style="thin">
          <color rgb="FF3F3F3F"/>
        </right>
        <top style="thin">
          <color rgb="FF7F7F7F"/>
        </top>
        <bottom style="thin">
          <color rgb="FF7F7F7F"/>
        </bottom>
        <vertical/>
        <horizontal/>
      </border>
    </dxf>
    <dxf>
      <numFmt numFmtId="167" formatCode="0;\-0;;@"/>
    </dxf>
    <dxf>
      <numFmt numFmtId="167" formatCode="0;\-0;;@"/>
    </dxf>
    <dxf>
      <numFmt numFmtId="166" formatCode="0;0;;@\ "/>
    </dxf>
    <dxf>
      <numFmt numFmtId="166" formatCode="0;0;;@\ "/>
    </dxf>
    <dxf>
      <numFmt numFmtId="167" formatCode="0;\-0;;@"/>
      <border diagonalUp="0" diagonalDown="0">
        <left style="thin">
          <color rgb="FF7F7F7F"/>
        </left>
        <right style="thin">
          <color rgb="FF3F3F3F"/>
        </right>
        <top style="thin">
          <color rgb="FF7F7F7F"/>
        </top>
        <bottom style="thin">
          <color rgb="FF7F7F7F"/>
        </bottom>
        <vertical/>
        <horizontal/>
      </border>
    </dxf>
    <dxf>
      <numFmt numFmtId="167" formatCode="0;\-0;;@"/>
    </dxf>
    <dxf>
      <numFmt numFmtId="167" formatCode="0;\-0;;@"/>
    </dxf>
    <dxf>
      <numFmt numFmtId="166" formatCode="0;0;;@\ "/>
    </dxf>
    <dxf>
      <numFmt numFmtId="166" formatCode="0;0;;@\ "/>
    </dxf>
    <dxf>
      <numFmt numFmtId="167" formatCode="0;\-0;;@"/>
      <border diagonalUp="0" diagonalDown="0">
        <left style="thin">
          <color rgb="FF7F7F7F"/>
        </left>
        <right style="thin">
          <color rgb="FF3F3F3F"/>
        </right>
        <top style="thin">
          <color rgb="FF7F7F7F"/>
        </top>
        <bottom style="thin">
          <color rgb="FF7F7F7F"/>
        </bottom>
        <vertical/>
        <horizontal/>
      </border>
    </dxf>
    <dxf>
      <numFmt numFmtId="167" formatCode="0;\-0;;@"/>
    </dxf>
    <dxf>
      <numFmt numFmtId="167" formatCode="0;\-0;;@"/>
    </dxf>
    <dxf>
      <numFmt numFmtId="166" formatCode="0;0;;@\ "/>
    </dxf>
    <dxf>
      <numFmt numFmtId="166" formatCode="0;0;;@\ "/>
    </dxf>
    <dxf>
      <numFmt numFmtId="167" formatCode="0;\-0;;@"/>
      <border diagonalUp="0" diagonalDown="0">
        <left style="thin">
          <color rgb="FF7F7F7F"/>
        </left>
        <right style="thin">
          <color rgb="FF3F3F3F"/>
        </right>
        <top style="thin">
          <color rgb="FF7F7F7F"/>
        </top>
        <bottom style="thin">
          <color rgb="FF7F7F7F"/>
        </bottom>
        <vertical/>
        <horizontal/>
      </border>
    </dxf>
    <dxf>
      <numFmt numFmtId="167" formatCode="0;\-0;;@"/>
    </dxf>
    <dxf>
      <numFmt numFmtId="167" formatCode="0;\-0;;@"/>
    </dxf>
    <dxf>
      <numFmt numFmtId="166" formatCode="0;0;;@\ "/>
    </dxf>
    <dxf>
      <numFmt numFmtId="166" formatCode="0;0;;@\ "/>
    </dxf>
    <dxf>
      <numFmt numFmtId="167" formatCode="0;\-0;;@"/>
      <border diagonalUp="0" diagonalDown="0">
        <left style="thin">
          <color rgb="FF7F7F7F"/>
        </left>
        <right style="thin">
          <color rgb="FF3F3F3F"/>
        </right>
        <top style="thin">
          <color rgb="FF7F7F7F"/>
        </top>
        <bottom style="thin">
          <color rgb="FF7F7F7F"/>
        </bottom>
        <vertical/>
        <horizontal/>
      </border>
    </dxf>
    <dxf>
      <numFmt numFmtId="167" formatCode="0;\-0;;@"/>
    </dxf>
    <dxf>
      <numFmt numFmtId="167" formatCode="0;\-0;;@"/>
    </dxf>
    <dxf>
      <numFmt numFmtId="166" formatCode="0;0;;@\ "/>
    </dxf>
    <dxf>
      <numFmt numFmtId="166" formatCode="0;0;;@\ "/>
    </dxf>
    <dxf>
      <numFmt numFmtId="167" formatCode="0;\-0;;@"/>
      <border diagonalUp="0" diagonalDown="0">
        <left style="thin">
          <color rgb="FF7F7F7F"/>
        </left>
        <right style="thin">
          <color rgb="FF3F3F3F"/>
        </right>
        <top style="thin">
          <color rgb="FF7F7F7F"/>
        </top>
        <bottom style="thin">
          <color rgb="FF7F7F7F"/>
        </bottom>
        <vertical/>
        <horizontal/>
      </border>
    </dxf>
    <dxf>
      <numFmt numFmtId="167" formatCode="0;\-0;;@"/>
    </dxf>
    <dxf>
      <numFmt numFmtId="167" formatCode="0;\-0;;@"/>
    </dxf>
    <dxf>
      <numFmt numFmtId="166" formatCode="0;0;;@\ "/>
    </dxf>
    <dxf>
      <numFmt numFmtId="166" formatCode="0;0;;@\ "/>
    </dxf>
    <dxf>
      <numFmt numFmtId="167" formatCode="0;\-0;;@"/>
      <border>
        <right style="thin">
          <color rgb="FF3F3F3F"/>
        </right>
      </border>
    </dxf>
    <dxf>
      <numFmt numFmtId="167" formatCode="0;\-0;;@"/>
    </dxf>
    <dxf>
      <numFmt numFmtId="167" formatCode="0;\-0;;@"/>
    </dxf>
    <dxf>
      <numFmt numFmtId="166" formatCode="0;0;;@\ "/>
    </dxf>
    <dxf>
      <numFmt numFmtId="166" formatCode="0;0;;@\ "/>
    </dxf>
    <dxf>
      <numFmt numFmtId="167" formatCode="0;\-0;;@"/>
    </dxf>
    <dxf>
      <numFmt numFmtId="167" formatCode="0;\-0;;@"/>
    </dxf>
    <dxf>
      <numFmt numFmtId="167" formatCode="0;\-0;;@"/>
    </dxf>
    <dxf>
      <numFmt numFmtId="166" formatCode="0;0;;@\ "/>
    </dxf>
    <dxf>
      <numFmt numFmtId="166" formatCode="0;0;;@\ "/>
    </dxf>
    <dxf>
      <numFmt numFmtId="167" formatCode="0;\-0;;@"/>
    </dxf>
    <dxf>
      <numFmt numFmtId="167" formatCode="0;\-0;;@"/>
    </dxf>
    <dxf>
      <numFmt numFmtId="167" formatCode="0;\-0;;@"/>
    </dxf>
    <dxf>
      <numFmt numFmtId="166" formatCode="0;0;;@\ "/>
    </dxf>
    <dxf>
      <numFmt numFmtId="166" formatCode="0;0;;@\ "/>
    </dxf>
    <dxf>
      <numFmt numFmtId="167" formatCode="0;\-0;;@"/>
      <border>
        <left style="thin">
          <color rgb="FF7F7F7F"/>
        </left>
      </border>
    </dxf>
    <dxf>
      <numFmt numFmtId="167" formatCode="0;\-0;;@"/>
    </dxf>
    <dxf>
      <numFmt numFmtId="167" formatCode="0;\-0;;@"/>
      <border>
        <right style="thin">
          <color rgb="FF7F7F7F"/>
        </right>
      </border>
    </dxf>
    <dxf>
      <numFmt numFmtId="166" formatCode="0;0;;@\ "/>
    </dxf>
    <dxf>
      <numFmt numFmtId="166" formatCode="0;0;;@\ "/>
      <border outline="0">
        <left style="thin">
          <color rgb="FF3F3F3F"/>
        </left>
      </border>
    </dxf>
    <dxf>
      <numFmt numFmtId="13" formatCode="0%"/>
      <alignment horizontal="center" vertical="bottom" textRotation="0" wrapText="1" indent="0" justifyLastLine="0" shrinkToFit="0" readingOrder="0"/>
    </dxf>
    <dxf>
      <font>
        <color rgb="FF3F3F76"/>
      </font>
      <fill>
        <patternFill patternType="solid">
          <fgColor indexed="64"/>
          <bgColor rgb="FFFFCC99"/>
        </patternFill>
      </fill>
      <alignment horizontal="center" vertical="bottom" textRotation="0" wrapText="0" indent="0" justifyLastLine="0" shrinkToFit="0" readingOrder="0"/>
      <border diagonalUp="0" diagonalDown="0" outline="0">
        <left style="thin">
          <color rgb="FF7F7F7F"/>
        </left>
        <right style="thin">
          <color rgb="FF3F3F3F"/>
        </right>
        <top style="thin">
          <color rgb="FF7F7F7F"/>
        </top>
        <bottom style="thin">
          <color rgb="FF7F7F7F"/>
        </bottom>
      </border>
    </dxf>
    <dxf>
      <font>
        <strike val="0"/>
        <outline val="0"/>
        <shadow val="0"/>
        <u val="none"/>
        <vertAlign val="baseline"/>
        <sz val="16"/>
        <color rgb="FF3F3F3F"/>
        <name val="Calibri"/>
        <family val="2"/>
        <scheme val="minor"/>
      </font>
      <numFmt numFmtId="0" formatCode="General"/>
      <border>
        <right style="thin">
          <color rgb="FF7F7F7F"/>
        </right>
      </border>
    </dxf>
    <dxf>
      <numFmt numFmtId="0" formatCode="General"/>
      <border outline="0">
        <right style="thin">
          <color rgb="FF3F3F3F"/>
        </right>
      </border>
    </dxf>
    <dxf>
      <font>
        <b val="0"/>
        <i val="0"/>
        <strike val="0"/>
        <condense val="0"/>
        <extend val="0"/>
        <outline val="0"/>
        <shadow val="0"/>
        <u val="none"/>
        <vertAlign val="baseline"/>
        <sz val="11"/>
        <color theme="1"/>
        <name val="Calibri"/>
        <family val="2"/>
        <scheme val="minor"/>
      </font>
      <numFmt numFmtId="13" formatCode="0%"/>
      <alignment horizontal="center" vertical="bottom" textRotation="0" wrapText="0" indent="0" justifyLastLine="0" shrinkToFit="0" readingOrder="0"/>
    </dxf>
    <dxf>
      <font>
        <b/>
        <sz val="12"/>
        <color rgb="FF3F3F76"/>
      </font>
      <numFmt numFmtId="169" formatCode="0.0;\-0.0;;@"/>
      <fill>
        <patternFill patternType="solid">
          <fgColor indexed="64"/>
          <bgColor rgb="FFFFCC99"/>
        </patternFill>
      </fill>
      <alignment horizontal="center" vertical="center" textRotation="0" wrapText="0" indent="0" justifyLastLine="0" shrinkToFit="0" readingOrder="0"/>
      <border diagonalUp="0" diagonalDown="0">
        <left style="thin">
          <color rgb="FF7F7F7F"/>
        </left>
        <right style="thin">
          <color rgb="FF7F7F7F"/>
        </right>
        <top style="thin">
          <color rgb="FF7F7F7F"/>
        </top>
        <bottom style="thin">
          <color rgb="FF7F7F7F"/>
        </bottom>
        <vertical/>
        <horizontal/>
      </border>
    </dxf>
    <dxf>
      <numFmt numFmtId="166" formatCode="0;0;;@\ "/>
      <alignment horizontal="center" textRotation="0" wrapText="0" indent="0" justifyLastLine="0" shrinkToFit="0" readingOrder="0"/>
      <border outline="0">
        <right style="thin">
          <color rgb="FF7F7F7F"/>
        </right>
      </border>
    </dxf>
    <dxf>
      <alignment horizontal="general" vertical="bottom" textRotation="0" wrapText="1" indent="0" justifyLastLine="0" shrinkToFit="0" readingOrder="0"/>
    </dxf>
    <dxf>
      <fill>
        <patternFill>
          <bgColor rgb="FFFFFF00"/>
        </patternFill>
      </fill>
    </dxf>
    <dxf>
      <numFmt numFmtId="168" formatCode="0.00;\-0.00;;@"/>
      <alignment horizontal="center" vertical="center" textRotation="0" wrapText="0" indent="0" justifyLastLine="0" shrinkToFit="0" readingOrder="0"/>
    </dxf>
    <dxf>
      <font>
        <b/>
        <strike val="0"/>
        <outline val="0"/>
        <shadow val="0"/>
        <u val="none"/>
        <vertAlign val="baseline"/>
        <sz val="16"/>
        <color rgb="FF3F3F3F"/>
        <name val="Calibri"/>
        <family val="2"/>
        <scheme val="minor"/>
      </font>
      <numFmt numFmtId="13" formatCode="0%"/>
      <fill>
        <patternFill patternType="solid">
          <fgColor indexed="64"/>
          <bgColor rgb="FFF2F2F2"/>
        </patternFill>
      </fill>
      <alignment horizontal="center" vertical="center" textRotation="0" wrapText="0" indent="0" justifyLastLine="0" shrinkToFit="0" readingOrder="0"/>
      <border diagonalUp="0" diagonalDown="0">
        <left style="thin">
          <color rgb="FF3F3F3F"/>
        </left>
        <right style="thin">
          <color rgb="FF3F3F3F"/>
        </right>
        <top style="thin">
          <color rgb="FF3F3F3F"/>
        </top>
        <bottom style="thin">
          <color rgb="FF3F3F3F"/>
        </bottom>
        <vertical/>
        <horizontal/>
      </border>
    </dxf>
    <dxf>
      <font>
        <b/>
        <strike val="0"/>
        <outline val="0"/>
        <shadow val="0"/>
        <u val="none"/>
        <vertAlign val="baseline"/>
        <sz val="16"/>
        <color rgb="FF3F3F3F"/>
        <name val="Calibri"/>
        <family val="2"/>
        <scheme val="minor"/>
      </font>
      <numFmt numFmtId="168" formatCode="0.00;\-0.00;;@"/>
      <alignment horizontal="center" vertical="center" textRotation="0" wrapText="0" indent="0" justifyLastLine="0" shrinkToFit="0" readingOrder="0"/>
      <border>
        <left style="thin">
          <color rgb="FF3F3F3F"/>
        </left>
        <right style="thin">
          <color rgb="FF3F3F3F"/>
        </right>
      </border>
    </dxf>
    <dxf>
      <font>
        <b/>
        <sz val="16"/>
        <color rgb="FF3F3F3F"/>
      </font>
      <numFmt numFmtId="168" formatCode="0.00;\-0.00;;@"/>
      <alignment horizontal="center" vertical="center" textRotation="0" wrapText="0" indent="0" justifyLastLine="0" shrinkToFit="0" readingOrder="0"/>
      <border>
        <right style="thin">
          <color rgb="FF3F3F3F"/>
        </right>
      </border>
    </dxf>
    <dxf>
      <numFmt numFmtId="0" formatCode="General"/>
      <border outline="0">
        <right style="thin">
          <color rgb="FF3F3F3F"/>
        </right>
      </border>
    </dxf>
    <dxf>
      <numFmt numFmtId="0" formatCode="General"/>
      <border diagonalUp="0" diagonalDown="0">
        <left/>
        <right style="thin">
          <color rgb="FF3F3F3F"/>
        </right>
        <top style="thin">
          <color rgb="FF7F7F7F"/>
        </top>
        <bottom style="thin">
          <color rgb="FF7F7F7F"/>
        </bottom>
      </border>
    </dxf>
    <dxf>
      <font>
        <b/>
        <strike val="0"/>
        <outline val="0"/>
        <shadow val="0"/>
        <u val="none"/>
        <vertAlign val="baseline"/>
        <sz val="16"/>
        <color rgb="FF3F3F76"/>
        <name val="Calibri"/>
        <family val="2"/>
        <scheme val="minor"/>
      </font>
    </dxf>
    <dxf>
      <font>
        <b/>
        <strike val="0"/>
        <outline val="0"/>
        <shadow val="0"/>
        <u val="none"/>
        <vertAlign val="baseline"/>
        <sz val="16"/>
        <color rgb="FF3F3F76"/>
        <name val="Calibri"/>
        <family val="2"/>
        <scheme val="minor"/>
      </font>
    </dxf>
    <dxf>
      <numFmt numFmtId="167" formatCode="0;\-0;;@"/>
      <alignment horizontal="center" vertical="center" textRotation="0" wrapText="0" indent="0" justifyLastLine="0" shrinkToFit="0" readingOrder="0"/>
    </dxf>
    <dxf>
      <numFmt numFmtId="167" formatCode="0;\-0;;@"/>
      <alignment horizontal="center" vertical="center" textRotation="0" wrapText="0" indent="0" justifyLastLine="0" shrinkToFit="0" readingOrder="0"/>
    </dxf>
    <dxf>
      <border outline="0">
        <top style="thin">
          <color theme="5"/>
        </top>
      </border>
    </dxf>
    <dxf>
      <font>
        <b/>
        <i val="0"/>
        <strike val="0"/>
        <condense val="0"/>
        <extend val="0"/>
        <outline val="0"/>
        <shadow val="0"/>
        <u val="none"/>
        <vertAlign val="baseline"/>
        <sz val="16"/>
        <color rgb="FF3F3F3F"/>
        <name val="Calibri"/>
        <family val="2"/>
        <scheme val="minor"/>
      </font>
      <fill>
        <patternFill patternType="solid">
          <fgColor indexed="64"/>
          <bgColor rgb="FFF2F2F2"/>
        </patternFill>
      </fill>
      <alignment horizontal="center" vertical="center" textRotation="0" wrapText="0" indent="0" justifyLastLine="0" shrinkToFit="0" readingOrder="0"/>
    </dxf>
    <dxf>
      <numFmt numFmtId="168" formatCode="0.00;\-0.0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font>
        <b/>
        <i val="0"/>
        <strike val="0"/>
        <condense val="0"/>
        <extend val="0"/>
        <outline val="0"/>
        <shadow val="0"/>
        <u val="none"/>
        <vertAlign val="baseline"/>
        <sz val="16"/>
        <color rgb="FF3F3F3F"/>
        <name val="Calibri"/>
        <family val="2"/>
        <scheme val="minor"/>
      </font>
      <numFmt numFmtId="13" formatCode="0%"/>
      <fill>
        <patternFill patternType="solid">
          <fgColor indexed="64"/>
          <bgColor rgb="FFF2F2F2"/>
        </patternFill>
      </fill>
      <alignment horizontal="center" vertical="center" textRotation="0" wrapText="0" indent="0" justifyLastLine="0" shrinkToFit="0" readingOrder="0"/>
    </dxf>
    <dxf>
      <font>
        <b/>
        <i val="0"/>
        <strike val="0"/>
        <condense val="0"/>
        <extend val="0"/>
        <outline val="0"/>
        <shadow val="0"/>
        <u val="none"/>
        <vertAlign val="baseline"/>
        <sz val="16"/>
        <color rgb="FF3F3F3F"/>
        <name val="Calibri"/>
        <family val="2"/>
        <scheme val="minor"/>
      </font>
      <numFmt numFmtId="13" formatCode="0%"/>
      <fill>
        <patternFill patternType="solid">
          <fgColor indexed="64"/>
          <bgColor rgb="FFF2F2F2"/>
        </patternFill>
      </fill>
      <alignment horizontal="center" vertical="center" textRotation="0" wrapText="0" indent="0" justifyLastLine="0" shrinkToFit="0" readingOrder="0"/>
    </dxf>
    <dxf>
      <font>
        <b/>
        <i val="0"/>
        <strike val="0"/>
        <condense val="0"/>
        <extend val="0"/>
        <outline val="0"/>
        <shadow val="0"/>
        <u val="none"/>
        <vertAlign val="baseline"/>
        <sz val="16"/>
        <color rgb="FF3F3F3F"/>
        <name val="Calibri"/>
        <family val="2"/>
        <scheme val="minor"/>
      </font>
      <numFmt numFmtId="13" formatCode="0%"/>
      <fill>
        <patternFill patternType="solid">
          <fgColor indexed="64"/>
          <bgColor rgb="FFF2F2F2"/>
        </patternFill>
      </fill>
      <alignment horizontal="center" vertical="center" textRotation="0" wrapText="0" indent="0" justifyLastLine="0" shrinkToFit="0" readingOrder="0"/>
    </dxf>
    <dxf>
      <font>
        <b/>
        <i val="0"/>
        <strike val="0"/>
        <condense val="0"/>
        <extend val="0"/>
        <outline val="0"/>
        <shadow val="0"/>
        <u val="none"/>
        <vertAlign val="baseline"/>
        <sz val="16"/>
        <color rgb="FF3F3F76"/>
        <name val="Calibri"/>
        <family val="2"/>
        <scheme val="minor"/>
      </font>
      <numFmt numFmtId="167" formatCode="0;\-0;;@"/>
      <fill>
        <patternFill patternType="solid">
          <fgColor indexed="64"/>
          <bgColor rgb="FFFFCC99"/>
        </patternFill>
      </fill>
      <alignment horizontal="center" vertical="center" textRotation="0" wrapText="0" indent="0" justifyLastLine="0" shrinkToFit="0" readingOrder="0"/>
      <border diagonalUp="0" diagonalDown="0" outline="0">
        <left style="thin">
          <color rgb="FF7F7F7F"/>
        </left>
        <right style="thin">
          <color rgb="FF7F7F7F"/>
        </right>
        <top style="thin">
          <color rgb="FF7F7F7F"/>
        </top>
        <bottom style="thin">
          <color rgb="FF7F7F7F"/>
        </bottom>
      </border>
    </dxf>
    <dxf>
      <font>
        <b/>
        <i val="0"/>
        <strike val="0"/>
        <condense val="0"/>
        <extend val="0"/>
        <outline val="0"/>
        <shadow val="0"/>
        <u val="none"/>
        <vertAlign val="baseline"/>
        <sz val="16"/>
        <color rgb="FF3F3F76"/>
        <name val="Calibri"/>
        <family val="2"/>
        <scheme val="minor"/>
      </font>
      <numFmt numFmtId="167" formatCode="0;\-0;;@"/>
      <fill>
        <patternFill patternType="solid">
          <fgColor indexed="64"/>
          <bgColor rgb="FFFFCC99"/>
        </patternFill>
      </fill>
      <alignment horizontal="center" vertical="center" textRotation="0" wrapText="0" indent="0" justifyLastLine="0" shrinkToFit="0" readingOrder="0"/>
      <border diagonalUp="0" diagonalDown="0" outline="0">
        <left style="thin">
          <color rgb="FF7F7F7F"/>
        </left>
        <right style="thin">
          <color rgb="FF7F7F7F"/>
        </right>
        <top style="thin">
          <color rgb="FF7F7F7F"/>
        </top>
        <bottom style="thin">
          <color rgb="FF7F7F7F"/>
        </bottom>
      </border>
    </dxf>
    <dxf>
      <border outline="0">
        <top style="thin">
          <color theme="5"/>
        </top>
      </border>
    </dxf>
    <dxf>
      <font>
        <b/>
        <i val="0"/>
        <strike val="0"/>
        <condense val="0"/>
        <extend val="0"/>
        <outline val="0"/>
        <shadow val="0"/>
        <u val="none"/>
        <vertAlign val="baseline"/>
        <sz val="16"/>
        <color rgb="FF3F3F3F"/>
        <name val="Calibri"/>
        <family val="2"/>
        <scheme val="minor"/>
      </font>
      <fill>
        <patternFill patternType="solid">
          <fgColor indexed="64"/>
          <bgColor rgb="FFF2F2F2"/>
        </patternFill>
      </fill>
      <alignment horizontal="center" vertical="center" textRotation="0" wrapText="0" indent="0" justifyLastLine="0" shrinkToFit="0" readingOrder="0"/>
    </dxf>
    <dxf>
      <alignment horizontal="center" vertical="center" textRotation="0" wrapText="0" indent="0" justifyLastLine="0" shrinkToFit="0" readingOrder="0"/>
    </dxf>
    <dxf>
      <font>
        <b/>
        <sz val="16"/>
        <color rgb="FF3F3F3F"/>
      </font>
      <numFmt numFmtId="167" formatCode="0;\-0;;@"/>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6"/>
        <color rgb="FF3F3F3F"/>
        <name val="Calibri"/>
        <family val="2"/>
        <scheme val="minor"/>
      </font>
      <numFmt numFmtId="167" formatCode="0;\-0;;@"/>
      <alignment horizontal="center" vertical="center" textRotation="0" wrapText="0" indent="0" justifyLastLine="0" shrinkToFit="0" readingOrder="0"/>
    </dxf>
    <dxf>
      <font>
        <b/>
        <i val="0"/>
        <strike val="0"/>
        <condense val="0"/>
        <extend val="0"/>
        <outline val="0"/>
        <shadow val="0"/>
        <u val="none"/>
        <vertAlign val="baseline"/>
        <sz val="16"/>
        <color rgb="FF3F3F3F"/>
        <name val="Calibri"/>
        <family val="2"/>
        <scheme val="minor"/>
      </font>
      <numFmt numFmtId="167" formatCode="0;\-0;;@"/>
      <fill>
        <patternFill patternType="none">
          <fgColor indexed="64"/>
          <bgColor indexed="65"/>
        </patternFill>
      </fill>
      <alignment horizontal="center" vertical="center" textRotation="0" wrapText="0" indent="0" justifyLastLine="0" shrinkToFit="0" readingOrder="0"/>
      <border>
        <left style="thin">
          <color rgb="FF7F7F7F"/>
        </left>
      </border>
    </dxf>
    <dxf>
      <numFmt numFmtId="175" formatCode="0%;\-0%;;@"/>
      <alignment horizontal="center" vertical="center" textRotation="0" wrapText="0" indent="0" justifyLastLine="0" shrinkToFit="0" readingOrder="0"/>
    </dxf>
    <dxf>
      <font>
        <strike val="0"/>
        <outline val="0"/>
        <shadow val="0"/>
        <u val="none"/>
        <vertAlign val="baseline"/>
        <sz val="11"/>
        <color auto="1"/>
        <name val="Calibri"/>
        <family val="2"/>
        <scheme val="minor"/>
      </font>
      <numFmt numFmtId="175" formatCode="0%;\-0%;;@"/>
      <fill>
        <patternFill patternType="none">
          <fgColor indexed="64"/>
          <bgColor auto="1"/>
        </patternFill>
      </fill>
      <alignment horizontal="center" vertical="center" textRotation="0" wrapText="0" indent="0" justifyLastLine="0" shrinkToFit="0" readingOrder="0"/>
      <border outline="0">
        <left style="thin">
          <color rgb="FF7F7F7F"/>
        </left>
        <right style="thin">
          <color rgb="FF7F7F7F"/>
        </right>
      </border>
    </dxf>
    <dxf>
      <font>
        <strike val="0"/>
        <outline val="0"/>
        <shadow val="0"/>
        <u val="none"/>
        <vertAlign val="baseline"/>
        <sz val="16"/>
        <color rgb="FFFA7D00"/>
        <name val="Calibri"/>
        <family val="2"/>
        <scheme val="minor"/>
      </font>
      <numFmt numFmtId="167" formatCode="0;\-0;;@"/>
      <alignment horizontal="center" vertical="center" textRotation="0" wrapText="0" indent="0" justifyLastLine="0" shrinkToFit="0" readingOrder="0"/>
      <border outline="0">
        <right style="thin">
          <color rgb="FF7F7F7F"/>
        </right>
      </border>
    </dxf>
    <dxf>
      <numFmt numFmtId="167" formatCode="0;\-0;;@"/>
      <alignment horizontal="center" vertical="center" textRotation="0" wrapText="0" indent="0" justifyLastLine="0" shrinkToFit="0" readingOrder="0"/>
      <border outline="0">
        <right style="thin">
          <color rgb="FF7F7F7F"/>
        </right>
      </border>
    </dxf>
    <dxf>
      <numFmt numFmtId="167" formatCode="0;\-0;;@"/>
      <alignment horizontal="center" vertical="center" textRotation="0" wrapText="0" indent="0" justifyLastLine="0" shrinkToFit="0" readingOrder="0"/>
    </dxf>
    <dxf>
      <font>
        <strike val="0"/>
        <outline val="0"/>
        <shadow val="0"/>
        <u val="none"/>
        <vertAlign val="baseline"/>
        <sz val="16"/>
        <color rgb="FF3F3F3F"/>
        <name val="Calibri"/>
        <family val="2"/>
        <scheme val="minor"/>
      </font>
      <numFmt numFmtId="167" formatCode="0;\-0;;@"/>
      <alignment horizontal="center" vertical="center" textRotation="0" wrapText="0" indent="0" justifyLastLine="0" shrinkToFit="0" readingOrder="0"/>
      <border outline="0">
        <left style="thin">
          <color rgb="FF3F3F3F"/>
        </left>
      </border>
    </dxf>
    <dxf>
      <font>
        <strike val="0"/>
        <outline val="0"/>
        <shadow val="0"/>
        <u val="none"/>
        <vertAlign val="baseline"/>
        <sz val="16"/>
        <color rgb="FF3F3F3F"/>
        <name val="Calibri"/>
        <family val="2"/>
        <scheme val="minor"/>
      </font>
      <numFmt numFmtId="167" formatCode="0;\-0;;@"/>
      <alignment horizontal="center" vertical="center" textRotation="0" wrapText="0" indent="0" justifyLastLine="0" shrinkToFit="0" readingOrder="0"/>
      <border outline="0">
        <left style="thin">
          <color rgb="FF3F3F3F"/>
        </left>
        <right style="thin">
          <color rgb="FF3F3F3F"/>
        </right>
      </border>
    </dxf>
    <dxf>
      <font>
        <strike val="0"/>
        <outline val="0"/>
        <shadow val="0"/>
        <u val="none"/>
        <vertAlign val="baseline"/>
        <sz val="16"/>
        <color rgb="FF3F3F3F"/>
        <name val="Calibri"/>
        <family val="2"/>
        <scheme val="minor"/>
      </font>
      <numFmt numFmtId="167" formatCode="0;\-0;;@"/>
      <alignment horizontal="center" vertical="center" textRotation="0" wrapText="0" indent="0" justifyLastLine="0" shrinkToFit="0" readingOrder="0"/>
      <border outline="0">
        <right style="thin">
          <color rgb="FF3F3F3F"/>
        </right>
      </border>
    </dxf>
    <dxf>
      <alignment horizontal="general" vertical="center" textRotation="0" wrapText="0" indent="0" justifyLastLine="0" shrinkToFit="0" readingOrder="0"/>
      <border outline="0">
        <right style="thin">
          <color rgb="FF3F3F3F"/>
        </right>
      </border>
    </dxf>
    <dxf>
      <border outline="0">
        <top style="thin">
          <color theme="5"/>
        </top>
      </border>
    </dxf>
    <dxf>
      <font>
        <b/>
        <i val="0"/>
        <strike val="0"/>
        <condense val="0"/>
        <extend val="0"/>
        <outline val="0"/>
        <shadow val="0"/>
        <u val="none"/>
        <vertAlign val="baseline"/>
        <sz val="11"/>
        <color theme="0"/>
        <name val="Calibri"/>
        <family val="2"/>
        <scheme val="minor"/>
      </font>
      <fill>
        <patternFill patternType="solid">
          <fgColor theme="5"/>
          <bgColor theme="5"/>
        </patternFill>
      </fill>
      <alignment horizontal="general" vertical="bottom" textRotation="0" wrapText="1" indent="0" justifyLastLine="0" shrinkToFit="0" readingOrder="0"/>
    </dxf>
    <dxf>
      <numFmt numFmtId="0" formatCode="General"/>
    </dxf>
    <dxf>
      <numFmt numFmtId="167" formatCode="0;\-0;;@"/>
      <alignment horizontal="center" vertical="center" textRotation="0" wrapText="0" indent="0" justifyLastLine="0" shrinkToFit="0" readingOrder="0"/>
    </dxf>
    <dxf>
      <numFmt numFmtId="167" formatCode="0;\-0;;@"/>
      <alignment horizontal="center" vertical="center" textRotation="0" wrapText="0" indent="0" justifyLastLine="0" shrinkToFit="0" readingOrder="0"/>
      <border>
        <left style="thin">
          <color rgb="FF7F7F7F"/>
        </left>
      </border>
    </dxf>
    <dxf>
      <numFmt numFmtId="167" formatCode="0;\-0;;@"/>
      <alignment horizontal="center" vertical="center" textRotation="0" wrapText="0" indent="0" justifyLastLine="0" shrinkToFit="0" readingOrder="0"/>
    </dxf>
    <dxf>
      <border diagonalUp="0" diagonalDown="0">
        <left/>
        <right style="thin">
          <color rgb="FF7F7F7F"/>
        </right>
        <top/>
        <bottom/>
        <vertical/>
        <horizontal/>
      </border>
    </dxf>
    <dxf>
      <alignment horizontal="general" vertical="bottom" textRotation="0" wrapText="1" indent="0" justifyLastLine="0" shrinkToFit="0" readingOrder="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7" formatCode="0;\-0;;@"/>
    </dxf>
    <dxf>
      <numFmt numFmtId="166" formatCode="0;0;;@\ "/>
      <border outline="0">
        <left style="thin">
          <color rgb="FF3F3F3F"/>
        </left>
      </border>
    </dxf>
    <dxf>
      <numFmt numFmtId="13" formatCode="0%"/>
    </dxf>
    <dxf>
      <numFmt numFmtId="167" formatCode="0;\-0;;@"/>
      <border diagonalUp="0" diagonalDown="0">
        <left style="thin">
          <color rgb="FF7F7F7F"/>
        </left>
        <right style="thin">
          <color rgb="FF3F3F3F"/>
        </right>
        <top style="thin">
          <color rgb="FF7F7F7F"/>
        </top>
        <bottom style="thin">
          <color rgb="FF7F7F7F"/>
        </bottom>
        <vertical/>
        <horizontal/>
      </border>
    </dxf>
    <dxf>
      <numFmt numFmtId="167" formatCode="0;\-0;;@"/>
    </dxf>
    <dxf>
      <numFmt numFmtId="167" formatCode="0;\-0;;@"/>
    </dxf>
    <dxf>
      <numFmt numFmtId="166" formatCode="0;0;;@\ "/>
    </dxf>
    <dxf>
      <numFmt numFmtId="166" formatCode="0;0;;@\ "/>
    </dxf>
    <dxf>
      <numFmt numFmtId="167" formatCode="0;\-0;;@"/>
      <border diagonalUp="0" diagonalDown="0">
        <left style="thin">
          <color rgb="FF7F7F7F"/>
        </left>
        <right style="thin">
          <color rgb="FF3F3F3F"/>
        </right>
        <top style="thin">
          <color rgb="FF7F7F7F"/>
        </top>
        <bottom style="thin">
          <color rgb="FF7F7F7F"/>
        </bottom>
        <vertical/>
        <horizontal/>
      </border>
    </dxf>
    <dxf>
      <numFmt numFmtId="167" formatCode="0;\-0;;@"/>
    </dxf>
    <dxf>
      <numFmt numFmtId="167" formatCode="0;\-0;;@"/>
    </dxf>
    <dxf>
      <numFmt numFmtId="166" formatCode="0;0;;@\ "/>
    </dxf>
    <dxf>
      <numFmt numFmtId="166" formatCode="0;0;;@\ "/>
    </dxf>
    <dxf>
      <numFmt numFmtId="167" formatCode="0;\-0;;@"/>
      <border diagonalUp="0" diagonalDown="0">
        <left style="thin">
          <color rgb="FF7F7F7F"/>
        </left>
        <right style="thin">
          <color rgb="FF3F3F3F"/>
        </right>
        <top style="thin">
          <color rgb="FF7F7F7F"/>
        </top>
        <bottom style="thin">
          <color rgb="FF7F7F7F"/>
        </bottom>
        <vertical/>
        <horizontal/>
      </border>
    </dxf>
    <dxf>
      <numFmt numFmtId="167" formatCode="0;\-0;;@"/>
    </dxf>
    <dxf>
      <numFmt numFmtId="167" formatCode="0;\-0;;@"/>
    </dxf>
    <dxf>
      <numFmt numFmtId="166" formatCode="0;0;;@\ "/>
    </dxf>
    <dxf>
      <numFmt numFmtId="166" formatCode="0;0;;@\ "/>
    </dxf>
    <dxf>
      <numFmt numFmtId="167" formatCode="0;\-0;;@"/>
      <border diagonalUp="0" diagonalDown="0">
        <left style="thin">
          <color rgb="FF7F7F7F"/>
        </left>
        <right style="thin">
          <color rgb="FF3F3F3F"/>
        </right>
        <top style="thin">
          <color rgb="FF7F7F7F"/>
        </top>
        <bottom style="thin">
          <color rgb="FF7F7F7F"/>
        </bottom>
        <vertical/>
        <horizontal/>
      </border>
    </dxf>
    <dxf>
      <numFmt numFmtId="167" formatCode="0;\-0;;@"/>
    </dxf>
    <dxf>
      <numFmt numFmtId="167" formatCode="0;\-0;;@"/>
    </dxf>
    <dxf>
      <numFmt numFmtId="166" formatCode="0;0;;@\ "/>
    </dxf>
    <dxf>
      <numFmt numFmtId="166" formatCode="0;0;;@\ "/>
    </dxf>
    <dxf>
      <numFmt numFmtId="167" formatCode="0;\-0;;@"/>
      <border diagonalUp="0" diagonalDown="0">
        <left style="thin">
          <color rgb="FF7F7F7F"/>
        </left>
        <right style="thin">
          <color rgb="FF3F3F3F"/>
        </right>
        <top style="thin">
          <color rgb="FF7F7F7F"/>
        </top>
        <bottom style="thin">
          <color rgb="FF7F7F7F"/>
        </bottom>
        <vertical/>
        <horizontal/>
      </border>
    </dxf>
    <dxf>
      <numFmt numFmtId="167" formatCode="0;\-0;;@"/>
    </dxf>
    <dxf>
      <numFmt numFmtId="167" formatCode="0;\-0;;@"/>
    </dxf>
    <dxf>
      <numFmt numFmtId="166" formatCode="0;0;;@\ "/>
    </dxf>
    <dxf>
      <numFmt numFmtId="166" formatCode="0;0;;@\ "/>
    </dxf>
    <dxf>
      <numFmt numFmtId="167" formatCode="0;\-0;;@"/>
      <border diagonalUp="0" diagonalDown="0">
        <left style="thin">
          <color rgb="FF7F7F7F"/>
        </left>
        <right style="thin">
          <color rgb="FF3F3F3F"/>
        </right>
        <top style="thin">
          <color rgb="FF7F7F7F"/>
        </top>
        <bottom style="thin">
          <color rgb="FF7F7F7F"/>
        </bottom>
        <vertical/>
        <horizontal/>
      </border>
    </dxf>
    <dxf>
      <numFmt numFmtId="167" formatCode="0;\-0;;@"/>
    </dxf>
    <dxf>
      <numFmt numFmtId="167" formatCode="0;\-0;;@"/>
    </dxf>
    <dxf>
      <numFmt numFmtId="166" formatCode="0;0;;@\ "/>
    </dxf>
    <dxf>
      <numFmt numFmtId="166" formatCode="0;0;;@\ "/>
    </dxf>
    <dxf>
      <numFmt numFmtId="167" formatCode="0;\-0;;@"/>
      <border>
        <right style="thin">
          <color rgb="FF3F3F3F"/>
        </right>
      </border>
    </dxf>
    <dxf>
      <numFmt numFmtId="167" formatCode="0;\-0;;@"/>
    </dxf>
    <dxf>
      <numFmt numFmtId="167" formatCode="0;\-0;;@"/>
    </dxf>
    <dxf>
      <numFmt numFmtId="166" formatCode="0;0;;@\ "/>
    </dxf>
    <dxf>
      <numFmt numFmtId="166" formatCode="0;0;;@\ "/>
    </dxf>
    <dxf>
      <numFmt numFmtId="167" formatCode="0;\-0;;@"/>
    </dxf>
    <dxf>
      <numFmt numFmtId="167" formatCode="0;\-0;;@"/>
    </dxf>
    <dxf>
      <numFmt numFmtId="167" formatCode="0;\-0;;@"/>
    </dxf>
    <dxf>
      <numFmt numFmtId="166" formatCode="0;0;;@\ "/>
    </dxf>
    <dxf>
      <numFmt numFmtId="166" formatCode="0;0;;@\ "/>
    </dxf>
    <dxf>
      <numFmt numFmtId="167" formatCode="0;\-0;;@"/>
    </dxf>
    <dxf>
      <numFmt numFmtId="167" formatCode="0;\-0;;@"/>
    </dxf>
    <dxf>
      <numFmt numFmtId="167" formatCode="0;\-0;;@"/>
    </dxf>
    <dxf>
      <numFmt numFmtId="166" formatCode="0;0;;@\ "/>
    </dxf>
    <dxf>
      <numFmt numFmtId="166" formatCode="0;0;;@\ "/>
    </dxf>
    <dxf>
      <numFmt numFmtId="167" formatCode="0;\-0;;@"/>
      <border>
        <left style="thin">
          <color rgb="FF7F7F7F"/>
        </left>
      </border>
    </dxf>
    <dxf>
      <numFmt numFmtId="167" formatCode="0;\-0;;@"/>
    </dxf>
    <dxf>
      <numFmt numFmtId="167" formatCode="0;\-0;;@"/>
      <border>
        <right style="thin">
          <color rgb="FF7F7F7F"/>
        </right>
      </border>
    </dxf>
    <dxf>
      <numFmt numFmtId="166" formatCode="0;0;;@\ "/>
    </dxf>
    <dxf>
      <numFmt numFmtId="166" formatCode="0;0;;@\ "/>
      <border outline="0">
        <left style="thin">
          <color rgb="FF3F3F3F"/>
        </left>
      </border>
    </dxf>
    <dxf>
      <numFmt numFmtId="13" formatCode="0%"/>
      <alignment horizontal="center" vertical="bottom" textRotation="0" wrapText="1" indent="0" justifyLastLine="0" shrinkToFit="0" readingOrder="0"/>
    </dxf>
    <dxf>
      <font>
        <color rgb="FF3F3F76"/>
      </font>
      <fill>
        <patternFill patternType="solid">
          <fgColor indexed="64"/>
          <bgColor rgb="FFFFCC99"/>
        </patternFill>
      </fill>
      <alignment horizontal="center" vertical="bottom" textRotation="0" wrapText="0" indent="0" justifyLastLine="0" shrinkToFit="0" readingOrder="0"/>
      <border diagonalUp="0" diagonalDown="0" outline="0">
        <left style="thin">
          <color rgb="FF7F7F7F"/>
        </left>
        <right style="thin">
          <color rgb="FF3F3F3F"/>
        </right>
        <top style="thin">
          <color rgb="FF7F7F7F"/>
        </top>
        <bottom style="thin">
          <color rgb="FF7F7F7F"/>
        </bottom>
      </border>
    </dxf>
    <dxf>
      <font>
        <strike val="0"/>
        <outline val="0"/>
        <shadow val="0"/>
        <u val="none"/>
        <vertAlign val="baseline"/>
        <sz val="16"/>
        <color rgb="FF3F3F3F"/>
        <name val="Calibri"/>
        <family val="2"/>
        <scheme val="minor"/>
      </font>
      <numFmt numFmtId="0" formatCode="General"/>
      <border>
        <right style="thin">
          <color rgb="FF7F7F7F"/>
        </right>
      </border>
    </dxf>
    <dxf>
      <numFmt numFmtId="0" formatCode="General"/>
      <border outline="0">
        <right style="thin">
          <color rgb="FF3F3F3F"/>
        </right>
      </border>
    </dxf>
    <dxf>
      <font>
        <b val="0"/>
        <i val="0"/>
        <strike val="0"/>
        <condense val="0"/>
        <extend val="0"/>
        <outline val="0"/>
        <shadow val="0"/>
        <u val="none"/>
        <vertAlign val="baseline"/>
        <sz val="11"/>
        <color theme="1"/>
        <name val="Calibri"/>
        <family val="2"/>
        <scheme val="minor"/>
      </font>
      <numFmt numFmtId="13" formatCode="0%"/>
      <alignment horizontal="center" vertical="bottom" textRotation="0" wrapText="0" indent="0" justifyLastLine="0" shrinkToFit="0" readingOrder="0"/>
    </dxf>
    <dxf>
      <font>
        <b/>
        <sz val="12"/>
        <color rgb="FF3F3F76"/>
      </font>
      <numFmt numFmtId="169" formatCode="0.0;\-0.0;;@"/>
      <fill>
        <patternFill patternType="solid">
          <fgColor indexed="64"/>
          <bgColor rgb="FFFFCC99"/>
        </patternFill>
      </fill>
      <alignment horizontal="center" vertical="center" textRotation="0" wrapText="0" indent="0" justifyLastLine="0" shrinkToFit="0" readingOrder="0"/>
      <border diagonalUp="0" diagonalDown="0">
        <left style="thin">
          <color rgb="FF7F7F7F"/>
        </left>
        <right style="thin">
          <color rgb="FF7F7F7F"/>
        </right>
        <top style="thin">
          <color rgb="FF7F7F7F"/>
        </top>
        <bottom style="thin">
          <color rgb="FF7F7F7F"/>
        </bottom>
        <vertical/>
        <horizontal/>
      </border>
    </dxf>
    <dxf>
      <numFmt numFmtId="166" formatCode="0;0;;@\ "/>
      <alignment horizontal="center" textRotation="0" wrapText="0" indent="0" justifyLastLine="0" shrinkToFit="0" readingOrder="0"/>
      <border outline="0">
        <right style="thin">
          <color rgb="FF7F7F7F"/>
        </right>
      </border>
    </dxf>
    <dxf>
      <alignment horizontal="general" vertical="bottom" textRotation="0" wrapText="1" indent="0" justifyLastLine="0" shrinkToFit="0" readingOrder="0"/>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C9A1BE9-ABB5-4C92-B24D-9AE68FC6619D}" name="IslandModel" displayName="IslandModel" ref="AD20:DH121" totalsRowShown="0" headerRowDxfId="339">
  <autoFilter ref="AD20:DH121" xr:uid="{CC9A1BE9-ABB5-4C92-B24D-9AE68FC6619D}"/>
  <tableColumns count="83">
    <tableColumn id="57" xr3:uid="{6BED9ABD-8DEE-4987-9E67-421EDA33F1D1}" name="ROW ID" dataDxfId="338" dataCellStyle="Calculation">
      <calculatedColumnFormula>ROW()</calculatedColumnFormula>
    </tableColumn>
    <tableColumn id="1" xr3:uid="{88320B19-3046-427A-A0CE-1F295DDED632}" name="Quantity" dataDxfId="337" dataCellStyle="Input"/>
    <tableColumn id="2" xr3:uid="{77CB827C-5DC6-4151-BDC3-C116FF2655C4}" name="Building" dataCellStyle="Input"/>
    <tableColumn id="8" xr3:uid="{B9BB9009-1154-4523-B3E2-270810B00788}" name="Assume All Inputs Are Available?" dataCellStyle="Input"/>
    <tableColumn id="29" xr3:uid="{D5778AEB-79C1-4755-8534-288200CC6A52}" name="Target Quantity" dataCellStyle="Input"/>
    <tableColumn id="28" xr3:uid="{BEA4DC11-FCCE-4389-8236-343AD54FAD24}" name="% to target" dataDxfId="336" dataCellStyle="Percent">
      <calculatedColumnFormula>IFERROR(IslandModel[[#This Row],[Quantity]]/IslandModel[[#This Row],[Target Quantity]],0)</calculatedColumnFormula>
    </tableColumn>
    <tableColumn id="3" xr3:uid="{83F5B5BD-72FD-4755-A985-494C99AC8B59}" name="Resource Produced" dataDxfId="335" dataCellStyle="Calculation">
      <calculatedColumnFormula>IFERROR(INDEX(Production[Resource Produced],MATCH(IslandModel[[#This Row],[Building]],Production[Building],0)),"")</calculatedColumnFormula>
    </tableColumn>
    <tableColumn id="4" xr3:uid="{9DE4AC17-3FB2-46D7-AFF0-CECA2D20A45B}" name="Amount produced/h" dataDxfId="334" dataCellStyle="Output">
      <calculatedColumnFormula>IFERROR(IslandModel[[#This Row],[Quantity]]*INDEX(Production[Production in 1h],MATCH(IslandModel[[#This Row],[Building]],Production[Building],0))*IslandModel[[#This Row],[Input Consumption Multiplier]],0)</calculatedColumnFormula>
    </tableColumn>
    <tableColumn id="23" xr3:uid="{97F6AB33-FDAB-47AC-AA16-EF3E995451DC}" name="% to scale production by" dataDxfId="333" dataCellStyle="Percent">
      <calculatedColumnFormula>100%</calculatedColumnFormula>
    </tableColumn>
    <tableColumn id="25" xr3:uid="{183DC49F-6A26-4C25-84F5-05C13AE1F3D1}" name="Limiting factors" dataDxfId="332" dataCellStyle="Output">
      <calculatedColumnFormula>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calculatedColumnFormula>
    </tableColumn>
    <tableColumn id="5" xr3:uid="{5BAFC69B-F3F5-466D-94DD-A838B1515888}" name="Input 1" dataDxfId="331" dataCellStyle="Calculation">
      <calculatedColumnFormula>IFERROR(INDEX(Production[Input 1],MATCH(IslandModel[[#This Row],[Building]],Production[Building],0)),"")</calculatedColumnFormula>
    </tableColumn>
    <tableColumn id="19" xr3:uid="{AAD7AABF-2405-469C-848F-DE9E31159DF4}" name="Input 1 Assume Available" dataDxfId="330" dataCellStyle="Input"/>
    <tableColumn id="6" xr3:uid="{156E7EF0-13FB-48CC-A101-912E8F4ECB9D}" name="Input 1 Needed" dataDxfId="329" dataCellStyle="Calculation">
      <calculatedColumnFormula>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calculatedColumnFormula>
    </tableColumn>
    <tableColumn id="15" xr3:uid="{BC8E5687-09F1-46AC-A64F-C6FACB2C2FED}" name="Input 1 Available" dataDxfId="328" dataCellStyle="Calculation">
      <calculatedColumnFormula>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calculatedColumnFormula>
    </tableColumn>
    <tableColumn id="63" xr3:uid="{500C6115-47F1-4730-94E7-88584141FCA3}" name="Input 1 Consumed" dataDxfId="327" dataCellStyle="Calculation">
      <calculatedColumnFormula>IF(OR(IslandModel[[#This Row],[Assume All Inputs Are Available?]]="Yes",IslandModel[[#This Row],[Input 1 Assume Available]]="Yes"),0,
IFERROR(MIN(IslandModel[[#This Row],[Input Consumption Multiplier]]*IslandModel[[#This Row],[Input 1 Needed]],IslandModel[[#This Row],[Input 1 Available]],IslandModel[[#This Row],[Input 1 Needed]]),0))</calculatedColumnFormula>
    </tableColumn>
    <tableColumn id="7" xr3:uid="{C196DB41-CF76-4635-9ED5-5F503C9FE6B5}" name="Input 2" dataDxfId="326" dataCellStyle="Calculation">
      <calculatedColumnFormula>IFERROR(INDEX(Production[Input 2],MATCH(IslandModel[[#This Row],[Building]],Production[Building],0)),"")</calculatedColumnFormula>
    </tableColumn>
    <tableColumn id="20" xr3:uid="{B3938BB7-C614-4186-9688-9B92B26B9B70}" name="Input 2 Assume Available" dataDxfId="325" dataCellStyle="Input"/>
    <tableColumn id="9" xr3:uid="{DA4EA7E7-964E-46AA-97F9-C1053703456C}" name="Input 2 Needed" dataDxfId="324" dataCellStyle="Calculation">
      <calculatedColumnFormula>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calculatedColumnFormula>
    </tableColumn>
    <tableColumn id="64" xr3:uid="{3981CE81-3117-4344-9137-B4513E591EF0}" name="Input 2 Available" dataDxfId="323" dataCellStyle="Calculation">
      <calculatedColumnFormula>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calculatedColumnFormula>
    </tableColumn>
    <tableColumn id="16" xr3:uid="{53D61270-C5A4-4603-86A2-4F49F479001B}" name="Input 2 Consumed" dataDxfId="322" dataCellStyle="Calculation">
      <calculatedColumnFormula>IF(OR(IslandModel[[#This Row],[Assume All Inputs Are Available?]]="Yes",IslandModel[[#This Row],[Input 2 Assume Available]]="Yes"),0,
IFERROR(MIN(IslandModel[[#This Row],[Input Consumption Multiplier]]*IslandModel[[#This Row],[Input 2 Needed]],IslandModel[[#This Row],[Input 2 Available]],IslandModel[[#This Row],[Input 2 Needed]]),0))</calculatedColumnFormula>
    </tableColumn>
    <tableColumn id="10" xr3:uid="{E13749D7-4E48-4E9A-AEED-E1EA99ECF778}" name="Input 3" dataDxfId="321" dataCellStyle="Calculation">
      <calculatedColumnFormula>IFERROR(INDEX(Production[Input 3],MATCH(IslandModel[[#This Row],[Building]],Production[Building],0)),"")</calculatedColumnFormula>
    </tableColumn>
    <tableColumn id="21" xr3:uid="{3E5ADF93-FF01-4345-8DFA-A29C9D1F6DDD}" name="Input 3 Assume Available" dataDxfId="320" dataCellStyle="Input"/>
    <tableColumn id="11" xr3:uid="{5A9DA516-498D-4C4A-B9CB-6D3FAA35728E}" name="Input 3 Needed" dataDxfId="319" dataCellStyle="Calculation">
      <calculatedColumnFormula>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calculatedColumnFormula>
    </tableColumn>
    <tableColumn id="65" xr3:uid="{A409C40F-40FC-48C7-9251-5B735F95CF01}" name="Input 3 Available" dataDxfId="318" dataCellStyle="Calculation">
      <calculatedColumnFormula>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calculatedColumnFormula>
    </tableColumn>
    <tableColumn id="17" xr3:uid="{34835D5C-0A4E-40ED-860B-F8803A383697}" name="Input 3 Consumed" dataDxfId="317" dataCellStyle="Calculation">
      <calculatedColumnFormula>IF(OR(IslandModel[[#This Row],[Assume All Inputs Are Available?]]="Yes",IslandModel[[#This Row],[Input 3 Assume Available]]="Yes"),0,
IFERROR(MIN(IslandModel[[#This Row],[Input Consumption Multiplier]]*IslandModel[[#This Row],[Input 3 Needed]],IslandModel[[#This Row],[Input 3 Available]],IslandModel[[#This Row],[Input 3 Needed]]),0))</calculatedColumnFormula>
    </tableColumn>
    <tableColumn id="12" xr3:uid="{9FB35896-028F-4769-8308-4AC85E712C1B}" name="Input 4" dataDxfId="316" dataCellStyle="Calculation">
      <calculatedColumnFormula>IFERROR(INDEX(Production[Input 4],MATCH(IslandModel[[#This Row],[Building]],Production[Building],0)),"")</calculatedColumnFormula>
    </tableColumn>
    <tableColumn id="22" xr3:uid="{63C3C3F2-4E32-4A2B-BB52-4F43B04129B2}" name="Input 4 Assume Available" dataDxfId="315" dataCellStyle="Input"/>
    <tableColumn id="13" xr3:uid="{3E1753E6-EA7D-4637-926C-F29D56FEA151}" name="Input 4 Needed" dataDxfId="314" dataCellStyle="Calculation">
      <calculatedColumnFormula>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calculatedColumnFormula>
    </tableColumn>
    <tableColumn id="66" xr3:uid="{C5481EBD-894D-4312-B323-77E8B02D0661}" name="Input 4 Available" dataDxfId="313" dataCellStyle="Calculation">
      <calculatedColumnFormula>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calculatedColumnFormula>
    </tableColumn>
    <tableColumn id="18" xr3:uid="{9C1B8772-009A-4FC0-855B-CBADB067156E}" name="Input 4 Consumed" dataDxfId="312" dataCellStyle="Calculation">
      <calculatedColumnFormula>IF(OR(IslandModel[[#This Row],[Assume All Inputs Are Available?]]="Yes",IslandModel[[#This Row],[Input 4 Assume Available]]="Yes"),0,IFERROR(MIN(IslandModel[[#This Row],[Input Consumption Multiplier]]*IslandModel[[#This Row],[Input 4 Needed]],IslandModel[[#This Row],[Input 4 Available]],IslandModel[[#This Row],[Input 4 Needed]]),0))</calculatedColumnFormula>
    </tableColumn>
    <tableColumn id="169" xr3:uid="{49D44CA0-B273-487F-AAF7-53E13A86358B}" name="Input 5" dataDxfId="311" dataCellStyle="Calculation">
      <calculatedColumnFormula>IFERROR(INDEX(Production[Input 5],MATCH(IslandModel[[#This Row],[Building]],Production[Building],0)),"")</calculatedColumnFormula>
    </tableColumn>
    <tableColumn id="168" xr3:uid="{E28372B8-63EB-46E1-8DE0-F074211C9FD1}" name="Input 5 Assume Available" dataDxfId="310" dataCellStyle="Input"/>
    <tableColumn id="167" xr3:uid="{C760265D-2EE5-4E1D-9919-22B5AE24CF4D}" name="Input 5 Needed" dataDxfId="309" dataCellStyle="Calculation">
      <calculatedColumnFormula>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calculatedColumnFormula>
    </tableColumn>
    <tableColumn id="166" xr3:uid="{6CFA4929-75FF-4230-9E24-CD4DCFB27913}" name="Input 5 Available" dataDxfId="308" dataCellStyle="Calculation">
      <calculatedColumnFormula>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calculatedColumnFormula>
    </tableColumn>
    <tableColumn id="165" xr3:uid="{4B188575-720E-4D97-AF8D-5DBF812FBAE1}" name="Input 5 Consumed" dataDxfId="307" dataCellStyle="Calculation">
      <calculatedColumnFormula>IF(OR(IslandModel[[#This Row],[Assume All Inputs Are Available?]]="Yes",IslandModel[[#This Row],[Input 5 Assume Available]]="Yes"),0,IFERROR(MIN(IslandModel[[#This Row],[Input Consumption Multiplier]]*IslandModel[[#This Row],[Input 5 Needed]],IslandModel[[#This Row],[Input 5 Available]],IslandModel[[#This Row],[Input 5 Needed]]),0))</calculatedColumnFormula>
    </tableColumn>
    <tableColumn id="164" xr3:uid="{14DFA9AC-B528-47B0-BF8B-581C7566AF98}" name="Input 6" dataDxfId="306" dataCellStyle="Calculation">
      <calculatedColumnFormula>IFERROR(INDEX(Production[Input 6],MATCH(IslandModel[[#This Row],[Building]],Production[Building],0)),"")</calculatedColumnFormula>
    </tableColumn>
    <tableColumn id="163" xr3:uid="{1F21D010-E9C3-4982-9496-99766A9B626B}" name="Input 6 Assume Available" dataDxfId="305" dataCellStyle="Input"/>
    <tableColumn id="162" xr3:uid="{74C01669-8758-4871-8504-F4441D51C4DF}" name="Input 6 Needed" dataDxfId="304" dataCellStyle="Calculation">
      <calculatedColumnFormula>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calculatedColumnFormula>
    </tableColumn>
    <tableColumn id="161" xr3:uid="{DBFBB11F-87E3-4217-8969-146A600D079E}" name="Input 6 Available" dataDxfId="303" dataCellStyle="Calculation">
      <calculatedColumnFormula>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calculatedColumnFormula>
    </tableColumn>
    <tableColumn id="160" xr3:uid="{5F17E118-24A7-45E2-8EF2-C98A6A120CD4}" name="Input 6 Consumed" dataDxfId="302" dataCellStyle="Calculation">
      <calculatedColumnFormula>IF(OR(IslandModel[[#This Row],[Assume All Inputs Are Available?]]="Yes",IslandModel[[#This Row],[Input 6 Assume Available]]="Yes"),0,IFERROR(MIN(IslandModel[[#This Row],[Input Consumption Multiplier]]*IslandModel[[#This Row],[Input 6 Needed]],IslandModel[[#This Row],[Input 6 Available]],IslandModel[[#This Row],[Input 6 Needed]]),0))</calculatedColumnFormula>
    </tableColumn>
    <tableColumn id="159" xr3:uid="{CEA956B1-20D1-4BCF-8EA6-7FB42D5244A1}" name="Input 7" dataDxfId="301" dataCellStyle="Calculation">
      <calculatedColumnFormula>IFERROR(INDEX(Production[Input 7],MATCH(IslandModel[[#This Row],[Building]],Production[Building],0)),"")</calculatedColumnFormula>
    </tableColumn>
    <tableColumn id="158" xr3:uid="{C75A7DA0-6A6A-4485-84AA-D1734ADC37DD}" name="Input 7 Assume Available" dataDxfId="300" dataCellStyle="Input"/>
    <tableColumn id="157" xr3:uid="{BE5862D0-370F-46CA-B0CA-CF101FF896CA}" name="Input 7 Needed" dataDxfId="299" dataCellStyle="Calculation">
      <calculatedColumnFormula>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calculatedColumnFormula>
    </tableColumn>
    <tableColumn id="156" xr3:uid="{E0F6A365-D3E2-4DF4-89E2-1E73260DC734}" name="Input 7 Available" dataDxfId="298" dataCellStyle="Calculation">
      <calculatedColumnFormula>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calculatedColumnFormula>
    </tableColumn>
    <tableColumn id="155" xr3:uid="{CD3A108B-8624-4C00-956C-157BD914B5C6}" name="Input 7 Consumed" dataDxfId="297" dataCellStyle="Calculation">
      <calculatedColumnFormula>IF(OR(IslandModel[[#This Row],[Assume All Inputs Are Available?]]="Yes",IslandModel[[#This Row],[Input 7 Assume Available]]="Yes"),0,IFERROR(MIN(IslandModel[[#This Row],[Input Consumption Multiplier]]*IslandModel[[#This Row],[Input 7 Needed]],IslandModel[[#This Row],[Input 7 Available]],IslandModel[[#This Row],[Input 7 Needed]]),0))</calculatedColumnFormula>
    </tableColumn>
    <tableColumn id="154" xr3:uid="{A94F61D9-8C17-4A83-B809-320C0222567B}" name="Input 8" dataDxfId="296" dataCellStyle="Calculation">
      <calculatedColumnFormula>IFERROR(INDEX(Production[Input 8],MATCH(IslandModel[[#This Row],[Building]],Production[Building],0)),"")</calculatedColumnFormula>
    </tableColumn>
    <tableColumn id="153" xr3:uid="{4DE9C9CA-B269-4C23-90A8-83A14A4D458D}" name="Input 8 Assume Available" dataDxfId="295" dataCellStyle="Input"/>
    <tableColumn id="152" xr3:uid="{35145E36-2B30-47FC-BFE6-E9D782415619}" name="Input 8 Needed" dataDxfId="294" dataCellStyle="Calculation">
      <calculatedColumnFormula>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calculatedColumnFormula>
    </tableColumn>
    <tableColumn id="151" xr3:uid="{B30EFDBC-8D5E-490C-B53F-469FB980CAD3}" name="Input 8 Available" dataDxfId="293" dataCellStyle="Calculation">
      <calculatedColumnFormula>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calculatedColumnFormula>
    </tableColumn>
    <tableColumn id="150" xr3:uid="{B158AC45-C3DA-4E80-A79B-AD192D8297A9}" name="Input 8 Consumed" dataDxfId="292" dataCellStyle="Calculation">
      <calculatedColumnFormula>IF(OR(IslandModel[[#This Row],[Assume All Inputs Are Available?]]="Yes",IslandModel[[#This Row],[Input 8 Assume Available]]="Yes"),0,IFERROR(MIN(IslandModel[[#This Row],[Input Consumption Multiplier]]*IslandModel[[#This Row],[Input 8 Needed]],IslandModel[[#This Row],[Input 8 Available]],IslandModel[[#This Row],[Input 8 Needed]]),0))</calculatedColumnFormula>
    </tableColumn>
    <tableColumn id="149" xr3:uid="{A9BAED92-78D8-43E9-AE0F-DE96298ED0E7}" name="Input 9" dataDxfId="291" dataCellStyle="Calculation">
      <calculatedColumnFormula>IFERROR(INDEX(Production[Input 9],MATCH(IslandModel[[#This Row],[Building]],Production[Building],0)),"")</calculatedColumnFormula>
    </tableColumn>
    <tableColumn id="148" xr3:uid="{B2E61FBA-04CF-4DD8-A586-A3BD97554E8D}" name="Input 9 Assume Available" dataDxfId="290" dataCellStyle="Input"/>
    <tableColumn id="147" xr3:uid="{23B7EF5D-A4BD-435B-88D4-84BEA4B29A0A}" name="Input 9 Needed" dataDxfId="289" dataCellStyle="Calculation">
      <calculatedColumnFormula>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calculatedColumnFormula>
    </tableColumn>
    <tableColumn id="146" xr3:uid="{3B346268-D9DD-4414-AD0F-863353EE6845}" name="Input 9 Available" dataDxfId="288" dataCellStyle="Calculation">
      <calculatedColumnFormula>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calculatedColumnFormula>
    </tableColumn>
    <tableColumn id="145" xr3:uid="{8B760C5D-39A5-40C4-B151-C7AFD9C5B861}" name="Input 9 Consumed" dataDxfId="287" dataCellStyle="Calculation">
      <calculatedColumnFormula>IF(OR(IslandModel[[#This Row],[Assume All Inputs Are Available?]]="Yes",IslandModel[[#This Row],[Input 9 Assume Available]]="Yes"),0,IFERROR(MIN(IslandModel[[#This Row],[Input Consumption Multiplier]]*IslandModel[[#This Row],[Input 9 Needed]],IslandModel[[#This Row],[Input 9 Available]],IslandModel[[#This Row],[Input 9 Needed]]),0))</calculatedColumnFormula>
    </tableColumn>
    <tableColumn id="144" xr3:uid="{58B6A809-CB35-4380-A3AF-5FA18405B144}" name="Input 10" dataDxfId="286" dataCellStyle="Calculation">
      <calculatedColumnFormula>IFERROR(INDEX(Production[Input 10],MATCH(IslandModel[[#This Row],[Building]],Production[Building],0)),"")</calculatedColumnFormula>
    </tableColumn>
    <tableColumn id="143" xr3:uid="{580B406E-6B4A-433E-8067-5D4CB4F65133}" name="Input 10 Assume Available" dataDxfId="285" dataCellStyle="Input"/>
    <tableColumn id="142" xr3:uid="{8DE82163-E0FD-4723-815E-AAC0F2F18B5A}" name="Input 10 Needed" dataDxfId="284" dataCellStyle="Calculation">
      <calculatedColumnFormula>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calculatedColumnFormula>
    </tableColumn>
    <tableColumn id="141" xr3:uid="{7C5756F0-B004-4804-8140-9B2681B59113}" name="Input 10 Available" dataDxfId="283" dataCellStyle="Calculation">
      <calculatedColumnFormula>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calculatedColumnFormula>
    </tableColumn>
    <tableColumn id="140" xr3:uid="{D7787AB3-2900-4C8A-930C-7FD74D358773}" name="Input 10 Consumed" dataDxfId="282" dataCellStyle="Calculation">
      <calculatedColumnFormula>IF(OR(IslandModel[[#This Row],[Assume All Inputs Are Available?]]="Yes",IslandModel[[#This Row],[Input 10 Assume Available]]="Yes"),0,IFERROR(MIN(IslandModel[[#This Row],[Input Consumption Multiplier]]*IslandModel[[#This Row],[Input 10 Needed]],IslandModel[[#This Row],[Input 10 Available]],IslandModel[[#This Row],[Input 10 Needed]]),0))</calculatedColumnFormula>
    </tableColumn>
    <tableColumn id="14" xr3:uid="{428ABE10-1680-465F-BF04-DD072ECE86C0}" name="Input Consumption Multiplier" dataDxfId="281" dataCellStyle="Percent">
      <calculatedColumnFormula>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calculatedColumnFormula>
    </tableColumn>
    <tableColumn id="24" xr3:uid="{E5758CA7-5695-4119-801F-9D828F19E6A4}" name="Resource 1" dataDxfId="280">
      <calculatedColumnFormula>IslandModel[[#This Row],[Resource Produced]]</calculatedColumnFormula>
    </tableColumn>
    <tableColumn id="58" xr3:uid="{86AE930E-E178-4700-A794-2972FA628C73}" name="Resource 1 Qty" dataDxfId="279">
      <calculatedColumnFormula>IslandModel[[#This Row],[Amount produced/h]]</calculatedColumnFormula>
    </tableColumn>
    <tableColumn id="120" xr3:uid="{43FED674-A604-4508-9292-4E6B0AA6945F}" name="Resource 2" dataDxfId="278">
      <calculatedColumnFormula>IslandModel[[#This Row],[Input 1]]</calculatedColumnFormula>
    </tableColumn>
    <tableColumn id="121" xr3:uid="{D7F3CD74-708F-4DC8-B5D0-B4FE770ADD8F}" name="Resource 2 Qty" dataDxfId="277">
      <calculatedColumnFormula>-IslandModel[[#This Row],[Input 1 Consumed]]</calculatedColumnFormula>
    </tableColumn>
    <tableColumn id="122" xr3:uid="{E19D76B5-8661-44A7-A135-66D1E5D088BF}" name="Resource 3" dataDxfId="276">
      <calculatedColumnFormula>IslandModel[[#This Row],[Input 2]]</calculatedColumnFormula>
    </tableColumn>
    <tableColumn id="123" xr3:uid="{1C45EA00-F368-4587-ACDE-E2DE07343178}" name="Resource 3 Qty" dataDxfId="275">
      <calculatedColumnFormula>-IslandModel[[#This Row],[Input 2 Consumed]]</calculatedColumnFormula>
    </tableColumn>
    <tableColumn id="124" xr3:uid="{8EB8B676-8E38-4D30-85F8-84AEFA05B489}" name="Resource 4" dataDxfId="274">
      <calculatedColumnFormula>IslandModel[[#This Row],[Input 3]]</calculatedColumnFormula>
    </tableColumn>
    <tableColumn id="125" xr3:uid="{1C5B28E5-456F-4DA7-8962-0C233B447C60}" name="Resource 4 Qty" dataDxfId="273">
      <calculatedColumnFormula>-IslandModel[[#This Row],[Input 3 Consumed]]</calculatedColumnFormula>
    </tableColumn>
    <tableColumn id="126" xr3:uid="{4274A53D-AF79-406A-9A9B-6CED643F401A}" name="Resource 5" dataDxfId="272">
      <calculatedColumnFormula>IslandModel[[#This Row],[Input 4]]</calculatedColumnFormula>
    </tableColumn>
    <tableColumn id="127" xr3:uid="{A056D8C4-FF8A-4CBA-A541-8CC0B9D6A22E}" name="Resource 5 Qty" dataDxfId="271">
      <calculatedColumnFormula>-IslandModel[[#This Row],[Input 4 Consumed]]</calculatedColumnFormula>
    </tableColumn>
    <tableColumn id="128" xr3:uid="{D4791152-BEEC-4E3D-8DFE-B82C4FA5DF48}" name="Resource 6" dataDxfId="270">
      <calculatedColumnFormula>IslandModel[[#This Row],[Input 5]]</calculatedColumnFormula>
    </tableColumn>
    <tableColumn id="129" xr3:uid="{5A353134-6000-49AF-8940-A6CED724DF24}" name="Resource 6 Qty" dataDxfId="269">
      <calculatedColumnFormula>-IslandModel[[#This Row],[Input 5 Consumed]]</calculatedColumnFormula>
    </tableColumn>
    <tableColumn id="130" xr3:uid="{D0B76779-33D4-47FD-B0BA-FD655DE986FB}" name="Resource 7" dataDxfId="268">
      <calculatedColumnFormula>IslandModel[[#This Row],[Input 6]]</calculatedColumnFormula>
    </tableColumn>
    <tableColumn id="131" xr3:uid="{0A9F8285-75AD-495E-9B5E-0515BCCD7284}" name="Resource 7 Qty" dataDxfId="267">
      <calculatedColumnFormula>-IslandModel[[#This Row],[Input 6 Consumed]]</calculatedColumnFormula>
    </tableColumn>
    <tableColumn id="132" xr3:uid="{0D767AC5-6241-4D91-8B46-5893979FF029}" name="Resource 8" dataDxfId="266">
      <calculatedColumnFormula>IslandModel[[#This Row],[Input 7]]</calculatedColumnFormula>
    </tableColumn>
    <tableColumn id="133" xr3:uid="{4BC545C2-0C8A-4160-8B31-6969D3462359}" name="Resource 8 Qty" dataDxfId="265">
      <calculatedColumnFormula>-IslandModel[[#This Row],[Input 7 Consumed]]</calculatedColumnFormula>
    </tableColumn>
    <tableColumn id="134" xr3:uid="{5AC46441-FAAB-4B15-8581-0C33F28D45D2}" name="Resource 9" dataDxfId="264">
      <calculatedColumnFormula>IslandModel[[#This Row],[Input 8]]</calculatedColumnFormula>
    </tableColumn>
    <tableColumn id="135" xr3:uid="{A55E6360-D9E9-48B4-BDAD-F0695E4D0A0D}" name="Resource 9 Qty" dataDxfId="263">
      <calculatedColumnFormula>-IslandModel[[#This Row],[Input 8 Consumed]]</calculatedColumnFormula>
    </tableColumn>
    <tableColumn id="136" xr3:uid="{42DCDB47-6C11-4649-8B36-8EEC041702B8}" name="Resource 10" dataDxfId="262">
      <calculatedColumnFormula>IslandModel[[#This Row],[Input 9]]</calculatedColumnFormula>
    </tableColumn>
    <tableColumn id="137" xr3:uid="{71812D4E-80A5-47DE-A168-A39084C600B5}" name="Resource 10 Qty" dataDxfId="261">
      <calculatedColumnFormula>-IslandModel[[#This Row],[Input 9 Consumed]]</calculatedColumnFormula>
    </tableColumn>
    <tableColumn id="138" xr3:uid="{B6E5BA99-FF5C-4687-95C5-40429454FA1F}" name="Resource 11" dataDxfId="260">
      <calculatedColumnFormula>IslandModel[[#This Row],[Input 10]]</calculatedColumnFormula>
    </tableColumn>
    <tableColumn id="139" xr3:uid="{46443ADC-FB48-47D2-9D35-017C1C6912E2}" name="Resource 11 Qty" dataDxfId="259">
      <calculatedColumnFormula>-IslandModel[[#This Row],[Input 10 Consumed]]</calculatedColumnFormula>
    </tableColumn>
  </tableColumns>
  <tableStyleInfo name="TableStyleLight14"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F6923391-C8D1-4E16-B352-002BB898A593}" name="ConsumptionModel_1000P" displayName="ConsumptionModel_1000P" ref="B20:K70" totalsRowShown="0" dataDxfId="104" tableBorderDxfId="103" headerRowCellStyle="Normal" dataCellStyle="Output">
  <autoFilter ref="B20:K70" xr:uid="{840B2423-5D72-4D61-AFB1-D0DB6DAF4B69}"/>
  <tableColumns count="10">
    <tableColumn id="1" xr3:uid="{EFD2AB41-1C56-46A3-AF6E-7634F5F678E7}" name="ROW ID" dataDxfId="102" dataCellStyle="Calculation">
      <calculatedColumnFormula>ROW()</calculatedColumnFormula>
    </tableColumn>
    <tableColumn id="10" xr3:uid="{99BB5784-C5FC-46C3-B9CD-5E2E128623E7}" name="Quantity" dataDxfId="101" dataCellStyle="Calculation">
      <calculatedColumnFormula>INDEX(ConsumptionModelInputs_1000P[Quantity],MATCH(ConsumptionModel_1000P[[#This Row],[Building]],ConsumptionModelInputs_1000P[Building],0))</calculatedColumnFormula>
    </tableColumn>
    <tableColumn id="2" xr3:uid="{47051D16-DB57-4937-994F-3D88A5EDB1D5}" name="Building" dataDxfId="100" dataCellStyle="Input"/>
    <tableColumn id="6" xr3:uid="{03F7932D-9C16-4BF5-BA7F-109A1C7068D9}" name="Resource" dataDxfId="99" dataCellStyle="Input"/>
    <tableColumn id="11" xr3:uid="{153526D3-5BB3-4AA2-A218-39ADDB339E5F}" name="Type" dataDxfId="98" dataCellStyle="Calculation">
      <calculatedColumnFormula>IF(OR(ISBLANK(ConsumptionModel_1000P[[#This Row],[Building]]),ISBLANK(ConsumptionModel_1000P[[#This Row],[Resource]]))," - ",INDEX(Consumption[Type],MATCH(ConsumptionModel_1000P[[#This Row],[LookupValue]],Consumption[LookupValue],0)))</calculatedColumnFormula>
    </tableColumn>
    <tableColumn id="7" xr3:uid="{2A6FACEA-C5DD-4C82-BDF9-EAFE0928DF32}" name="LookupValue" dataDxfId="97" dataCellStyle="Calculation">
      <calculatedColumnFormula>IF(OR(ISBLANK(ConsumptionModel_1000P[[#This Row],[Building]]),ISBLANK(ConsumptionModel_1000P[[#This Row],[Resource]]))," - ",ConsumptionModel_1000P[[#This Row],[Building]]&amp;" - "&amp;ConsumptionModel_1000P[[#This Row],[Resource]])</calculatedColumnFormula>
    </tableColumn>
    <tableColumn id="8" xr3:uid="{6D081B65-104F-455E-A351-FA617C807B8F}" name="Resource Demand" dataDxfId="96" dataCellStyle="Output">
      <calculatedColumnFormula>ConsumptionModel_1000P[[#This Row],[Quantity]]*INDEX(Consumption[Consumption/person/h],MATCH(ConsumptionModel_1000P[[#This Row],[LookupValue]],Consumption[LookupValue],0))*IFERROR(INDEX(ResidentBuildings[Residents],MATCH(ConsumptionModel_1000P[[#This Row],[Building]],ResidentBuildings[Building],0)),0)</calculatedColumnFormula>
    </tableColumn>
    <tableColumn id="9" xr3:uid="{6E9B9029-1350-4A8C-B378-F23486DF9157}" name="Resource Available" dataDxfId="95" dataCellStyle="Output">
      <calculatedColumnFormula>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calculatedColumnFormula>
    </tableColumn>
    <tableColumn id="5" xr3:uid="{2DF2901E-5314-41BD-9A2E-517F03DBA9EC}" name="Satisfaction" dataDxfId="94" dataCellStyle="Percent">
      <calculatedColumnFormula>IF(ConsumptionModel_1000P[[#This Row],[Quantity]]=0,"",IF(AND(ConsumptionModel_1000P[[#This Row],[Resource Demand]]=0,ConsumptionModel_1000P[[#This Row],[Resource Available]]&gt;0),1,MIN(1,IFERROR(ConsumptionModel_1000P[[#This Row],[Resource Available]]/ConsumptionModel_1000P[[#This Row],[Resource Demand]],0))))</calculatedColumnFormula>
    </tableColumn>
    <tableColumn id="3" xr3:uid="{36FBB6F0-EB39-4559-8F8F-A2AEAC54E9FE}" name="Production Rate (per building per h) by Demanded Resource" dataDxfId="93" dataCellStyle="Calculation">
      <calculatedColumnFormula>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calculatedColumnFormula>
    </tableColumn>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FF08C36-715D-4CFD-B01C-758516841943}" name="Production" displayName="Production" ref="A10:AE152" totalsRowShown="0" headerRowDxfId="92">
  <autoFilter ref="A10:AE152" xr:uid="{7FF08C36-715D-4CFD-B01C-758516841943}"/>
  <sortState xmlns:xlrd2="http://schemas.microsoft.com/office/spreadsheetml/2017/richdata2" ref="A11:AE152">
    <sortCondition ref="B11:B152"/>
  </sortState>
  <tableColumns count="31">
    <tableColumn id="14" xr3:uid="{4F7F0DFE-4741-47BC-82DA-E049491B3552}" name="ID"/>
    <tableColumn id="1" xr3:uid="{32C149A8-7BCE-4823-A277-E75C95AEA5CE}" name="Building"/>
    <tableColumn id="2" xr3:uid="{DDCE680C-B61D-44A3-AA15-0BDFE0AD737E}" name="Resource Produced"/>
    <tableColumn id="3" xr3:uid="{97206196-3372-4848-B289-A4E299DBD3AA}" name="Input 1"/>
    <tableColumn id="4" xr3:uid="{FACEEC5E-A864-44AF-80A6-FD6C5E621868}" name="Input 1 Quantity" dataDxfId="91"/>
    <tableColumn id="5" xr3:uid="{3AD4F06B-E824-42F8-BCD8-C9E14C9413AC}" name="Input 2"/>
    <tableColumn id="6" xr3:uid="{AF939FE9-0194-40E6-80E3-41C6274DFDF4}" name="Input 2 Quantity" dataDxfId="90"/>
    <tableColumn id="7" xr3:uid="{4F3EA5C1-9D80-4B1E-B48A-0196E3737659}" name="Input 3"/>
    <tableColumn id="8" xr3:uid="{50845AFC-CC35-419F-A22F-B132C28F789F}" name="Input 3 Quantity"/>
    <tableColumn id="9" xr3:uid="{01F2864E-6B2E-4DAE-BDD8-E55C05042967}" name="Input 4"/>
    <tableColumn id="10" xr3:uid="{307399AF-9355-4A7F-BB91-61043A59DC48}" name="Input 4 Quantity"/>
    <tableColumn id="121" xr3:uid="{6D20391E-D5FF-4B4E-B4DC-D48AA0D520F4}" name="Input 5"/>
    <tableColumn id="120" xr3:uid="{313C6834-F223-49CB-9A95-313598CB6820}" name="Input 5 Quantity"/>
    <tableColumn id="119" xr3:uid="{3BF52CD5-DEDE-4FF4-BBFC-F6B42ED609FA}" name="Input 6"/>
    <tableColumn id="118" xr3:uid="{8A1EC594-3613-43F3-9DC7-38AF02108CF9}" name="Input 6 Quantity"/>
    <tableColumn id="117" xr3:uid="{991AEFE6-C481-460A-ADD0-5743EA604C78}" name="Input 7"/>
    <tableColumn id="116" xr3:uid="{D1FEC90B-839C-4BF0-AF67-CFB58004549D}" name="Input 7 Quantity"/>
    <tableColumn id="115" xr3:uid="{1B500F40-946F-4274-A761-BC01DBF49DD6}" name="Input 8"/>
    <tableColumn id="114" xr3:uid="{2BEA16BF-D8A7-441B-B238-6B9CAAA56102}" name="Input 8 Quantity"/>
    <tableColumn id="113" xr3:uid="{576A1633-7A1E-464D-944F-8B88A91B5BB4}" name="Input 9"/>
    <tableColumn id="112" xr3:uid="{16185916-7E30-4168-9F8D-F4FF3F830F48}" name="Input 9 Quantity"/>
    <tableColumn id="111" xr3:uid="{9A2FC824-BD0B-4214-BB0F-109FE41A6AEF}" name="Input 10"/>
    <tableColumn id="110" xr3:uid="{002909C1-5586-401C-8A9E-3C05D288D874}" name="Input 10 Quantity"/>
    <tableColumn id="17" xr3:uid="{43D3054F-0C29-4BF0-B290-61DADCBECC3E}" name="Timer" dataDxfId="89"/>
    <tableColumn id="109" xr3:uid="{130A4354-081B-4102-95BA-58A7A0EF5965}" name="Qty Produced per Timer cycle" dataDxfId="88"/>
    <tableColumn id="18" xr3:uid="{D5D4C41B-F122-42B4-8936-60FE78015FEF}" name="Fertility/Deposit" dataDxfId="87"/>
    <tableColumn id="11" xr3:uid="{3647A9B4-2478-4EE7-AF78-A92B0C4F343A}" name="Time to produce 1 unit (minutes)" dataDxfId="86">
      <calculatedColumnFormula>IFERROR(60/Production[[#This Row],[Production in 1h]],0)</calculatedColumnFormula>
    </tableColumn>
    <tableColumn id="12" xr3:uid="{FD310635-30F5-418D-9456-25ECEAD4C59D}" name="Production in 1h" dataDxfId="85">
      <calculatedColumnFormula>IFERROR(Production[[#This Row],[Qty Produced per Timer cycle]]*60/Production[[#This Row],[Timer]],0)</calculatedColumnFormula>
    </tableColumn>
    <tableColumn id="15" xr3:uid="{C213DFC4-6C9B-42E7-8A81-BB5151500D04}" name="Consumption multiplier" dataDxfId="84">
      <calculatedColumnFormula>IFERROR(IF(ISBLANK(Production[[#This Row],[Consumption Multiplier override]]),Production[[#This Row],[Production in 1h]]/Production[[#This Row],[Qty Produced per Timer cycle]],Production[[#This Row],[Consumption Multiplier override]]),0)</calculatedColumnFormula>
    </tableColumn>
    <tableColumn id="16" xr3:uid="{5DFB3AD3-6716-4332-B7FB-72239197B39E}" name="Consumption Multiplier override" dataDxfId="83"/>
    <tableColumn id="13" xr3:uid="{19E077A0-22C9-4617-8DBD-53F40BF6F53C}" name="Notes" dataDxfId="82"/>
  </tableColumns>
  <tableStyleInfo name="TableStyleLight1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F66C35F-4D8D-4610-87F7-CF39D513159A}" name="Consumption" displayName="Consumption" ref="AJ10:AR61" totalsRowShown="0" tableBorderDxfId="81" headerRowCellStyle="Normal">
  <autoFilter ref="AJ10:AR61" xr:uid="{4F66C35F-4D8D-4610-87F7-CF39D513159A}"/>
  <sortState xmlns:xlrd2="http://schemas.microsoft.com/office/spreadsheetml/2017/richdata2" ref="AJ11:AK19">
    <sortCondition ref="AJ10:AJ19"/>
  </sortState>
  <tableColumns count="9">
    <tableColumn id="1" xr3:uid="{EA44A0A0-8B75-4985-96B3-0F720D2C6902}" name="ID"/>
    <tableColumn id="2" xr3:uid="{3D1EA6D7-9DF8-428E-B7F6-CB3F88C932B9}" name="Building"/>
    <tableColumn id="3" xr3:uid="{C8E95F11-3575-4435-9960-994536ED6CA0}" name="Resource"/>
    <tableColumn id="7" xr3:uid="{8C99E997-1C5D-403C-B95B-A14D0745322D}" name="Type"/>
    <tableColumn id="8" xr3:uid="{B80A778A-8E75-4327-8568-B35328EAC1A9}" name="Consumption per resident per second"/>
    <tableColumn id="4" xr3:uid="{7849D064-C8DD-4E0C-A3B7-6669ABB5560D}" name="Consumption/person/h" dataDxfId="80" dataCellStyle="Output">
      <calculatedColumnFormula>IF(ISBLANK(Consumption[[#This Row],[Building]]),0,(1/4800)*3600)</calculatedColumnFormula>
    </tableColumn>
    <tableColumn id="5" xr3:uid="{FB7D243E-936C-4C07-8E20-A51DE39C8958}" name="Production per resident per second" dataDxfId="79" dataCellStyle="Good"/>
    <tableColumn id="9" xr3:uid="{A9C956A4-66FC-4E45-AAB4-83ACC7FF54A9}" name="Production/person/h" dataDxfId="78" dataCellStyle="Calculation">
      <calculatedColumnFormula>IF(ISBLANK(Consumption[[#This Row],[Building]]),0,Consumption[[#This Row],[Production per resident per second]]*3600)</calculatedColumnFormula>
    </tableColumn>
    <tableColumn id="6" xr3:uid="{DD52E4C3-9C89-4650-9F85-C0B071ABE045}" name="LookupValue" dataDxfId="77" dataCellStyle="Calculation">
      <calculatedColumnFormula>Consumption[[#This Row],[Building]]&amp;" - "&amp;Consumption[[#This Row],[Resource]]</calculatedColumnFormula>
    </tableColumn>
  </tableColumns>
  <tableStyleInfo name="TableStyleLight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994FB9AD-15A5-41DC-83D0-DD72FB67E3C2}" name="ResidentBuildings" displayName="ResidentBuildings" ref="AT10:AV16" totalsRowShown="0">
  <autoFilter ref="AT10:AV16" xr:uid="{994FB9AD-15A5-41DC-83D0-DD72FB67E3C2}"/>
  <tableColumns count="3">
    <tableColumn id="3" xr3:uid="{8EF1E49A-45AB-4A82-927C-2FAD8408D0F6}" name="ID"/>
    <tableColumn id="1" xr3:uid="{1D146F9A-DBDD-4C1D-BF3F-7207F9D1FFC2}" name="Building"/>
    <tableColumn id="2" xr3:uid="{1432AF78-849D-4E9E-9EE8-8D25DABF4351}" name="Residents"/>
  </tableColumns>
  <tableStyleInfo name="TableStyleLight8"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E0060888-92B6-4B8B-AD97-EA8C3395427C}" name="ResourceSelector" displayName="ResourceSelector" ref="AX10:AX34" totalsRowShown="0" headerRowDxfId="76">
  <autoFilter ref="AX10:AX34" xr:uid="{E0060888-92B6-4B8B-AD97-EA8C3395427C}"/>
  <tableColumns count="1">
    <tableColumn id="1" xr3:uid="{C2BC32C0-15BC-4B6F-A1BB-79CB515B7ACC}" name="Resource"/>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A485840-97F0-4B5E-8DA3-F9529C90F9BE}" name="Units" displayName="Units" ref="K10:R32" totalsRowShown="0" headerRowDxfId="75">
  <autoFilter ref="K10:R32" xr:uid="{1A485840-97F0-4B5E-8DA3-F9529C90F9BE}"/>
  <sortState xmlns:xlrd2="http://schemas.microsoft.com/office/spreadsheetml/2017/richdata2" ref="K11:O11">
    <sortCondition ref="K10:K11"/>
  </sortState>
  <tableColumns count="8">
    <tableColumn id="1" xr3:uid="{7642AE95-9321-434E-A0A7-EFDDED7ED305}" name="Faction"/>
    <tableColumn id="2" xr3:uid="{C4C0E1F7-8273-46A9-B452-405DA1ED3109}" name="Unit"/>
    <tableColumn id="3" xr3:uid="{1486350A-F8AB-4A9D-806B-F1E3A1510EE7}" name="Health"/>
    <tableColumn id="4" xr3:uid="{506A0088-C33D-4F32-AC80-9078303649D9}" name="Attack"/>
    <tableColumn id="5" xr3:uid="{28C1E2D9-1DB5-4CAD-99DC-46B421B3F27E}" name="Double"/>
    <tableColumn id="8" xr3:uid="{5D7052BB-3EF6-4953-AFA6-75E8F914D366}" name="Expected Attack" dataDxfId="74" dataCellStyle="Calculation">
      <calculatedColumnFormula>Units[[#This Row],[Attack]]*(1+Units[[#This Row],[Double]])</calculatedColumnFormula>
    </tableColumn>
    <tableColumn id="7" xr3:uid="{A56FB8DA-6679-4368-BEE8-B968D54526CE}" name="Damage Order"/>
    <tableColumn id="6" xr3:uid="{3D1B64DB-A0DC-4D3F-90DA-4CBE021F0AF4}" name="Special"/>
  </tableColumns>
  <tableStyleInfo name="TableStyleLight8"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63B203A-EB11-426A-893B-9605A492CEE2}" name="BattleComparison" displayName="BattleComparison" ref="B10:I23" totalsRowShown="0" headerRowDxfId="73">
  <autoFilter ref="B10:I23" xr:uid="{A63B203A-EB11-426A-893B-9605A492CEE2}"/>
  <tableColumns count="8">
    <tableColumn id="1" xr3:uid="{235AB792-51A8-4BBA-A8DF-3AA0676E2DA3}" name="Paragon Quantity" dataDxfId="72" dataCellStyle="Input"/>
    <tableColumn id="2" xr3:uid="{09A44D27-EE80-4B12-AA4D-791FADA6631C}" name="Paragon Unit" dataDxfId="71"/>
    <tableColumn id="3" xr3:uid="{1335D6DB-E556-4082-9177-3C017568C888}" name="Paragon Health" dataDxfId="70" dataCellStyle="Calculation">
      <calculatedColumnFormula>IFERROR(INDEX(Units[Health],MATCH(BattleComparison[[#This Row],[Paragon Unit]],Units[Unit],0)),0)*BattleComparison[[#This Row],[Paragon Quantity]]</calculatedColumnFormula>
    </tableColumn>
    <tableColumn id="4" xr3:uid="{A1ED8345-C013-4378-AD1C-5D29E0D7D16A}" name="Paragon Expected Attack" dataDxfId="69" dataCellStyle="Calculation">
      <calculatedColumnFormula>IFERROR(INDEX(Units[Expected Attack],MATCH(BattleComparison[[#This Row],[Paragon Unit]],Units[Unit],0)),0)*BattleComparison[[#This Row],[Paragon Quantity]]</calculatedColumnFormula>
    </tableColumn>
    <tableColumn id="5" xr3:uid="{53E2644B-9728-4D7B-AA22-81DC55CB731D}" name="Orc Quantity" dataDxfId="68" dataCellStyle="Input"/>
    <tableColumn id="6" xr3:uid="{D64BBFEB-E26C-483C-8AFE-6F3DA8E64783}" name="Orc Unit"/>
    <tableColumn id="7" xr3:uid="{6D1EB15D-B141-48FF-B5CF-E35B99220FA3}" name="Orc Health" dataDxfId="67" dataCellStyle="Calculation">
      <calculatedColumnFormula>IFERROR(INDEX(Units[Health],MATCH(BattleComparison[[#This Row],[Orc Unit]],Units[Unit],0)),0)*BattleComparison[[#This Row],[Orc Quantity]]</calculatedColumnFormula>
    </tableColumn>
    <tableColumn id="8" xr3:uid="{6054FB81-8294-43CC-B752-B2586134BB61}" name="Orc Expected Attack" dataDxfId="66" dataCellStyle="Calculation">
      <calculatedColumnFormula>IFERROR(INDEX(Units[Expected Attack],MATCH(BattleComparison[[#This Row],[Orc Unit]],Units[Unit],0)),0)*BattleComparison[[#This Row],[Orc Quantity]]</calculatedColumnFormula>
    </tableColumn>
  </tableColumns>
  <tableStyleInfo name="TableStyleLight10"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F13B6E5-B602-4CA9-A9EE-D8E42058D4E0}" name="Ships" displayName="Ships" ref="L10:W19" totalsRowShown="0" headerRowDxfId="65">
  <autoFilter ref="L10:W19" xr:uid="{3F13B6E5-B602-4CA9-A9EE-D8E42058D4E0}"/>
  <tableColumns count="12">
    <tableColumn id="1" xr3:uid="{F6272AF3-C703-464A-AD8F-219927E100F1}" name="Ship" dataDxfId="64"/>
    <tableColumn id="2" xr3:uid="{D2B05A58-223C-4EB6-AC11-8CCD423539F9}" name="Hold Slots"/>
    <tableColumn id="12" xr3:uid="{FB50C8D1-7640-4C1B-B23C-3756302A36E3}" name="Slot Size"/>
    <tableColumn id="3" xr3:uid="{026B6239-1DFD-43B7-8D0F-4CC385A9433D}" name="Slot Size (adjusted)">
      <calculatedColumnFormula>IF($U$6="Yes",Ships[[#This Row],[Slot Size]]*2,Ships[[#This Row],[Slot Size]])</calculatedColumnFormula>
    </tableColumn>
    <tableColumn id="4" xr3:uid="{FE95F541-5690-4BAA-801F-84E8285A6D79}" name="Total Capacity" dataDxfId="63">
      <calculatedColumnFormula>Ships[[#This Row],[Hold Slots]]*Ships[[#This Row],[Slot Size (adjusted)]]</calculatedColumnFormula>
    </tableColumn>
    <tableColumn id="11" xr3:uid="{8E88887B-E4D3-4A0E-896D-B323C27F25E5}" name="Speed" dataDxfId="62"/>
    <tableColumn id="5" xr3:uid="{E1E72FAB-1FC4-42E6-B567-867AE85FD32C}" name="Speed (adjusted)" dataDxfId="61">
      <calculatedColumnFormula>IF($U$5="Yes",Ships[[#This Row],[Speed]]*2,Ships[[#This Row],[Speed]])</calculatedColumnFormula>
    </tableColumn>
    <tableColumn id="6" xr3:uid="{D4096D47-D5C5-4B3C-8566-C5799028B8BA}" name="Travel time (hours, one way)" dataDxfId="60">
      <calculatedColumnFormula>IFERROR(2*(1/Ships[[#This Row],[Speed (adjusted)]]),1)</calculatedColumnFormula>
    </tableColumn>
    <tableColumn id="7" xr3:uid="{7BC57FC5-FEC3-4253-88C6-A81A7DE0D815}" name="Cargo capacity/h (one way)" dataDxfId="59">
      <calculatedColumnFormula>Ships[[#This Row],[Total Capacity]]/Ships[[#This Row],[Travel time (hours, one way)]]</calculatedColumnFormula>
    </tableColumn>
    <tableColumn id="8" xr3:uid="{6FC352DD-14B5-4471-B2D0-DE451F2E2AEA}" name="Cargo capacity/h (return, 50% empty)" dataDxfId="58">
      <calculatedColumnFormula>(Ships[[#This Row],[Total Capacity]]/(Ships[[#This Row],[Travel time (hours, one way)]]+IF($U$4="Yes",2/12,0)))*50%</calculatedColumnFormula>
    </tableColumn>
    <tableColumn id="9" xr3:uid="{D11A2A3E-2552-4634-A2C6-9EE45E781591}" name="Gold cost" dataDxfId="57"/>
    <tableColumn id="10" xr3:uid="{F97242E6-1CCE-44A7-B87F-EA4FBD26B915}" name="Cargo Capacity/h (return, 50% empty)/1000 Gold" dataDxfId="56">
      <calculatedColumnFormula>IFERROR(1000*Ships[[#This Row],[Cargo capacity/h (return, 50% empty)]]/Ships[[#This Row],[Gold cost]],0)</calculatedColumnFormula>
    </tableColumn>
  </tableColumns>
  <tableStyleInfo name="TableStyleLight9"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DA990C6-3D59-416D-AE3F-F9C5774BD8A0}" name="ShipCapacityCalculator" displayName="ShipCapacityCalculator" ref="B10:D19" totalsRowShown="0">
  <autoFilter ref="B10:D19" xr:uid="{4DA990C6-3D59-416D-AE3F-F9C5774BD8A0}"/>
  <tableColumns count="3">
    <tableColumn id="1" xr3:uid="{222C1679-B492-4FA3-8C65-6D19F6235288}" name="Quantity" dataDxfId="55" dataCellStyle="Input"/>
    <tableColumn id="2" xr3:uid="{96D51907-B9B5-48D3-A8D6-5591C2FF46ED}" name="Ship" dataDxfId="54"/>
    <tableColumn id="3" xr3:uid="{52D39875-BC49-445A-877D-505C8DE6118D}" name="Cargo capacity/h (return, 50% empty)" dataDxfId="53" dataCellStyle="Output">
      <calculatedColumnFormula>IFERROR(INDEX(Ships[Cargo capacity/h (return, 50% empty)],MATCH(ShipCapacityCalculator[[#This Row],[Ship]],Ships[Ship],0)),0)*ShipCapacityCalculator[[#This Row],[Quantity]]</calculatedColumnFormula>
    </tableColumn>
  </tableColumns>
  <tableStyleInfo name="TableStyleLight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D17F364-9C7D-4EF9-8F84-F3FE3BED9256}" name="ShipRequirementCalculator" displayName="ShipRequirementCalculator" ref="F10:J19" totalsRowShown="0">
  <autoFilter ref="F10:J19" xr:uid="{BD17F364-9C7D-4EF9-8F84-F3FE3BED9256}"/>
  <tableColumns count="5">
    <tableColumn id="2" xr3:uid="{49D95058-BCB5-4157-8A44-0B0273B9D100}" name="Ship" dataDxfId="52"/>
    <tableColumn id="3" xr3:uid="{CE75C746-E43C-4286-94E9-62E3ED87557C}" name="Cargo capacity/h (return, 50% empty)" dataDxfId="51" dataCellStyle="Calculation">
      <calculatedColumnFormula>IFERROR(INDEX(Ships[Cargo capacity/h (return, 50% empty)],MATCH(ShipRequirementCalculator[[#This Row],[Ship]],Ships[Ship],0)),0)*1</calculatedColumnFormula>
    </tableColumn>
    <tableColumn id="1" xr3:uid="{A8909DCC-1F9C-4954-83A3-386EE7FEE779}" name="Quantity (exact)" dataDxfId="50" dataCellStyle="Output">
      <calculatedColumnFormula>$G$7/ShipRequirementCalculator[[#This Row],[Cargo capacity/h (return, 50% empty)]]</calculatedColumnFormula>
    </tableColumn>
    <tableColumn id="5" xr3:uid="{558AEF16-259C-4054-A07D-1F3C8824E520}" name="Quantity (rounded up)" dataDxfId="49" dataCellStyle="Output">
      <calculatedColumnFormula>ROUNDUP($G$7/ShipRequirementCalculator[[#This Row],[Cargo capacity/h (return, 50% empty)]],0)</calculatedColumnFormula>
    </tableColumn>
    <tableColumn id="6" xr3:uid="{1D4F1DAD-9480-42BE-A68B-2D6A5A2CA16C}" name="Average occupancy" dataDxfId="48" dataCellStyle="Percent">
      <calculatedColumnFormula>$G$7/(ShipRequirementCalculator[[#This Row],[Quantity (rounded up)]]*ShipRequirementCalculator[[#This Row],[Cargo capacity/h (return, 50% empty)]])</calculatedColumnFormula>
    </tableColumn>
  </tableColumns>
  <tableStyleInfo name="TableStyleLight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55B1D59-003C-4183-9B4F-334B8255ED0A}" name="ResourceAvailable" displayName="ResourceAvailable" ref="DJ20:DN119" totalsRowShown="0" headerRowDxfId="258">
  <autoFilter ref="DJ20:DN119" xr:uid="{555B1D59-003C-4183-9B4F-334B8255ED0A}"/>
  <sortState xmlns:xlrd2="http://schemas.microsoft.com/office/spreadsheetml/2017/richdata2" ref="DJ21:DN118">
    <sortCondition ref="DJ21:DJ118"/>
  </sortState>
  <tableColumns count="5">
    <tableColumn id="1" xr3:uid="{921C798D-974C-4804-8433-E3A15F516670}" name="Resource" dataDxfId="257"/>
    <tableColumn id="2" xr3:uid="{9B3CC2D7-9096-41E2-9CF3-631E7797ADBF}" name="Amount Produced" dataDxfId="256" dataCellStyle="Calculation">
      <calculatedColumnFormula>SUM(SUMIFS(IslandModel[Resource 1 Qty],IslandModel[Resource 1],ResourceAvailable[[#This Row],[Resource]]))</calculatedColumnFormula>
    </tableColumn>
    <tableColumn id="3" xr3:uid="{5C718B5F-CEE8-4B69-B2E3-1AD2CA33351F}" name="Amount Consumed" dataDxfId="255" dataCellStyle="Calculation">
      <calculatedColumnFormula>-1*SUM(SUMIFS(IslandModel[Resource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calculatedColumnFormula>
    </tableColumn>
    <tableColumn id="4" xr3:uid="{AE8934DE-9A01-4E97-A526-2B23C870096F}" name="Amount Available for Resident Consumption" dataDxfId="254" dataCellStyle="Calculation">
      <calculatedColumnFormula>ResourceAvailable[[#This Row],[Amount Produced]]-ResourceAvailable[[#This Row],[Amount Consumed]]</calculatedColumnFormula>
    </tableColumn>
    <tableColumn id="5" xr3:uid="{B41151F0-AAEF-4BCB-9A30-BBC8A5163443}" name="Amount Available after Resident Consumption" dataDxfId="253" dataCellStyle="Calculation">
      <calculatedColumnFormula>MAX(0,ResourceAvailable[[#This Row],[Amount Available for Resident Consumption]]-SUMIFS(ConsumptionModel[Resource Demand],ConsumptionModel[Resource],ResourceAvailable[[#This Row],[Resource]]))</calculatedColumnFormula>
    </tableColumn>
  </tableColumns>
  <tableStyleInfo name="TableStyleLight10"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482D6A6-FD95-4B2D-8CF7-B3E7D1357F52}" name="IslandSize" displayName="IslandSize" ref="B10:F35" totalsRowShown="0" headerRowDxfId="47" dataDxfId="46" tableBorderDxfId="45" headerRowCellStyle="Normal" dataCellStyle="Calculation">
  <autoFilter ref="B10:F35" xr:uid="{F482D6A6-FD95-4B2D-8CF7-B3E7D1357F52}"/>
  <tableColumns count="5">
    <tableColumn id="1" xr3:uid="{62E31D07-B7E3-4478-A985-94C63ED08B40}" name="Island size (e.g. 12)" dataDxfId="44" dataCellStyle="Calculation">
      <calculatedColumnFormula>B10+2</calculatedColumnFormula>
    </tableColumn>
    <tableColumn id="2" xr3:uid="{26679577-A4AB-4650-BEC8-87B9B58E0E8C}" name="Estimated land area" dataDxfId="43" dataCellStyle="Output">
      <calculatedColumnFormula>ROUNDUP(((B11-2)^2)-(4*(B11-3)*50%)-(4*(B11-4)*25%),0)</calculatedColumnFormula>
    </tableColumn>
    <tableColumn id="3" xr3:uid="{9127D92D-3F1E-4BF6-B0E2-23A2E5503C43}" name="Estimated water perimeter area" dataDxfId="42" dataCellStyle="Output">
      <calculatedColumnFormula>ROUNDUP((((B11-1)*4*25%)*2)+((B11-1)*4),0)</calculatedColumnFormula>
    </tableColumn>
    <tableColumn id="4" xr3:uid="{563612EC-9319-42EF-ACB1-A5C0E549FFDB}" name="Estimated Mountain area" dataDxfId="41" dataCellStyle="Output">
      <calculatedColumnFormula>ROUNDUP(C11*10%,0)</calculatedColumnFormula>
    </tableColumn>
    <tableColumn id="5" xr3:uid="{D7AFCB58-3F34-4590-B969-C242350BDF3B}" name="Favor on conquest and handover" dataDxfId="40" dataCellStyle="Output">
      <calculatedColumnFormula>2^((B11/2)-6)</calculatedColumnFormula>
    </tableColumn>
  </tableColumns>
  <tableStyleInfo name="TableStyleLight14"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2C85735-5300-4A0A-93B7-8568855AFF59}" name="ThousandParagonIslandSize" displayName="ThousandParagonIslandSize" ref="X10:AH35" totalsRowShown="0" headerRowDxfId="39" headerRowCellStyle="Heading 4">
  <autoFilter ref="X10:AH35" xr:uid="{D2C85735-5300-4A0A-93B7-8568855AFF59}"/>
  <tableColumns count="11">
    <tableColumn id="1" xr3:uid="{3030C6BF-C531-4EFD-99AD-B113325E5135}" name="Good" dataDxfId="38" dataCellStyle="Input"/>
    <tableColumn id="2" xr3:uid="{C79667E2-E05C-4960-B356-5ABD44C6EB9F}" name="Land required" dataDxfId="37" dataCellStyle="Output">
      <calculatedColumnFormula>SUM(SUMIFS(IslandModel_1000P[Input 1 Needed],IslandModel_1000P[Input 1],"Land tile",'1000Paragons'!$AC$21:$AC$147,IslandSize!$X11),
SUMIFS(IslandModel_1000P[Input 1 Needed],IslandModel_1000P[Input 1],"Mountain tile",'1000Paragons'!$AC$21:$AC$147,IslandSize!$X11))</calculatedColumnFormula>
    </tableColumn>
    <tableColumn id="3" xr3:uid="{8431A787-E78F-44FF-902B-459808676C01}" name="Minimum Island Size" dataDxfId="36">
      <calculatedColumnFormula array="1">INDEX(IslandSize[Island size (e.g. 12)],COUNTIFS(IslandSize[Estimated land area],"&lt;"&amp;ThousandParagonIslandSize[[#This Row],[Land required]])+1)</calculatedColumnFormula>
    </tableColumn>
    <tableColumn id="4" xr3:uid="{361E615C-BC54-42B6-9A6C-6401EBEA8A70}" name="Estimated Land Area on Island" dataDxfId="35">
      <calculatedColumnFormula>INDEX(IslandSize[Estimated land area],MATCH(ThousandParagonIslandSize[[#This Row],[Minimum Island Size]],IslandSize[Island size (e.g. 12)],0))</calculatedColumnFormula>
    </tableColumn>
    <tableColumn id="5" xr3:uid="{D6722A29-DB03-41FC-AE1E-1EC4C6674874}" name="% occupancy" dataDxfId="34" dataCellStyle="Percent">
      <calculatedColumnFormula>ThousandParagonIslandSize[[#This Row],[Land required]]/ThousandParagonIslandSize[[#This Row],[Estimated Land Area on Island]]</calculatedColumnFormula>
    </tableColumn>
    <tableColumn id="6" xr3:uid="{AF3241E6-5702-40D9-B5FA-7A61F754F691}" name="Next size up" dataDxfId="33">
      <calculatedColumnFormula>ThousandParagonIslandSize[[#This Row],[Minimum Island Size]]+2</calculatedColumnFormula>
    </tableColumn>
    <tableColumn id="7" xr3:uid="{705AE236-978E-4255-93A2-1866DC07AFC4}" name="Estimated Land Area on next size up" dataDxfId="32">
      <calculatedColumnFormula>INDEX(IslandSize[Estimated land area],MATCH(ThousandParagonIslandSize[[#This Row],[Next size up]],IslandSize[Island size (e.g. 12)],0))</calculatedColumnFormula>
    </tableColumn>
    <tableColumn id="8" xr3:uid="{037E655E-BF4C-4338-A526-702031FF55A7}" name="% occupancy of next size up" dataDxfId="31" dataCellStyle="Percent">
      <calculatedColumnFormula>ThousandParagonIslandSize[[#This Row],[Land required]]/ThousandParagonIslandSize[[#This Row],[Estimated Land Area on next size up]]</calculatedColumnFormula>
    </tableColumn>
    <tableColumn id="9" xr3:uid="{87C4B00E-9F01-42BD-A4E8-21C6C5CACF16}" name="Two sizes up" dataDxfId="30">
      <calculatedColumnFormula>ThousandParagonIslandSize[[#This Row],[Next size up]]+2</calculatedColumnFormula>
    </tableColumn>
    <tableColumn id="10" xr3:uid="{9956EA3A-3850-4EDF-AFE3-D23075D3FBF6}" name="Estimated Land Area on two sizes up" dataDxfId="29">
      <calculatedColumnFormula>INDEX(IslandSize[Estimated land area],MATCH(ThousandParagonIslandSize[[#This Row],[Two sizes up]],IslandSize[Island size (e.g. 12)],0))</calculatedColumnFormula>
    </tableColumn>
    <tableColumn id="11" xr3:uid="{AE51925D-3EC2-49EA-BF70-64167712A58F}" name="% occupancy of two sizes up" dataDxfId="28" dataCellStyle="Percent">
      <calculatedColumnFormula>ThousandParagonIslandSize[[#This Row],[Land required]]/ThousandParagonIslandSize[[#This Row],[Estimated Land Area on two sizes up]]</calculatedColumnFormula>
    </tableColumn>
  </tableColumns>
  <tableStyleInfo name="TableStyleLight1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CDB02EF2-7F9A-42F6-AF3E-7A7CEDFA51DB}" name="IslandConcepts" displayName="IslandConcepts" ref="N10:V26" totalsRowShown="0" headerRowDxfId="27" dataDxfId="26" headerRowCellStyle="Normal">
  <autoFilter ref="N10:V26" xr:uid="{CDB02EF2-7F9A-42F6-AF3E-7A7CEDFA51DB}"/>
  <tableColumns count="9">
    <tableColumn id="13" xr3:uid="{BA82E044-C9BA-48CF-8135-CD5F6A30E119}" name="Island ID" dataDxfId="25"/>
    <tableColumn id="1" xr3:uid="{552F8A4A-DA23-46C0-BC72-886AEF076ECA}" name="Island Concepts" dataDxfId="24"/>
    <tableColumn id="2" xr3:uid="{26097F35-D4C4-44E6-886B-BF88CB003E44}" name="Fertilities Needed" dataDxfId="23"/>
    <tableColumn id="3" xr3:uid="{ABBB6C4C-E81F-4254-8134-991E1CE664E2}" name="Other useful fertilities" dataDxfId="22"/>
    <tableColumn id="4" xr3:uid="{5B0A4BCD-49DB-4A30-A5A1-E501C828FD1D}" name="Deposits Needed" dataDxfId="21"/>
    <tableColumn id="5" xr3:uid="{899EB1F4-135B-41B3-A84E-A2ED3683C021}" name="Other useful deposits" dataDxfId="20"/>
    <tableColumn id="6" xr3:uid="{0BF04E7D-6B51-4469-B451-BCC189E32B96}" name="Size" dataDxfId="19"/>
    <tableColumn id="14" xr3:uid="{41B3C770-F70F-4354-B884-8879284D3D1B}" name="Progress" dataDxfId="18" dataCellStyle="Percent"/>
    <tableColumn id="7" xr3:uid="{FE5CF0C9-6746-4DD0-BC4B-F4EC61BAE93E}" name="Notes" dataDxfId="17"/>
  </tableColumns>
  <tableStyleInfo name="TableStyleLight14"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6C5CD8AA-360A-49D4-B164-FDCE8B2FAA73}" name="IslandUnlock" displayName="IslandUnlock" ref="H10:L41" totalsRowShown="0" headerRowDxfId="16" dataDxfId="15" tableBorderDxfId="14" headerRowCellStyle="Normal" dataCellStyle="Calculation">
  <autoFilter ref="H10:L41" xr:uid="{6C5CD8AA-360A-49D4-B164-FDCE8B2FAA73}"/>
  <tableColumns count="5">
    <tableColumn id="1" xr3:uid="{ACBD6C51-5D42-489E-9BAF-CBCED7BBFB15}" name="Island number" dataDxfId="13" dataCellStyle="Calculation">
      <calculatedColumnFormula>H10+1</calculatedColumnFormula>
    </tableColumn>
    <tableColumn id="2" xr3:uid="{65571D47-9B2A-44F6-A88A-66DA13CD057B}" name="Favor needed" dataDxfId="12" dataCellStyle="Calculation">
      <calculatedColumnFormula>2^(J10+1)-1</calculatedColumnFormula>
    </tableColumn>
    <tableColumn id="3" xr3:uid="{78576662-2C29-4D05-9977-3CA5830735EF}" name="Power of 2" dataDxfId="11" dataCellStyle="Calculation">
      <calculatedColumnFormula>LOG(I11+1,2)</calculatedColumnFormula>
    </tableColumn>
    <tableColumn id="4" xr3:uid="{4455E88C-465D-49AF-86D8-C522310E97B3}" name="Step" dataDxfId="10" dataCellStyle="Calculation">
      <calculatedColumnFormula>IFERROR(MAX(0,I12-I11),0)</calculatedColumnFormula>
    </tableColumn>
    <tableColumn id="5" xr3:uid="{12B2BAEC-A130-4CCF-A73B-1A9718604708}" name="Equivalent handover island size" dataDxfId="9" dataCellStyle="Calculation">
      <calculatedColumnFormula>IFERROR(INDEX(IslandSize[Island size (e.g. 12)],MATCH(K11,IslandSize[Favor on conquest and handover],0)),"-")</calculatedColumnFormula>
    </tableColumn>
  </tableColumns>
  <tableStyleInfo name="TableStyleLight1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64657B6-8EF5-4A1C-A49C-0E73B037E79B}" name="BuildingRatios" displayName="BuildingRatios" ref="A10:G54" totalsRowShown="0" headerRowDxfId="8" dataDxfId="7">
  <tableColumns count="7">
    <tableColumn id="1" xr3:uid="{6E077D29-491D-4ACC-A778-66F5A58EE94E}" name="Resource Chain" dataDxfId="6"/>
    <tableColumn id="2" xr3:uid="{56F86DEB-E85C-4F0C-8241-B796DF4684BF}" name="Resource Produced" dataDxfId="5"/>
    <tableColumn id="3" xr3:uid="{4DED84B0-ABFB-47ED-B42B-D297628B5D88}" name="Amount Produced Per Hour (Whole Chain)" dataDxfId="4"/>
    <tableColumn id="4" xr3:uid="{911262A3-0778-4084-AAEF-77C1BF33BF2C}" name="Amount Produced Per Hour (1 End Building)" dataDxfId="3"/>
    <tableColumn id="5" xr3:uid="{8AE73711-4348-4A97-B89E-81E4724D53EB}" name="Ratio" dataDxfId="2"/>
    <tableColumn id="6" xr3:uid="{19AC5732-F84B-4E67-B518-249BC2AB4E6F}" name="Buildings in Chain" dataDxfId="1"/>
    <tableColumn id="7" xr3:uid="{4DEEACF5-1C08-4D03-92D7-26973EE11354}" name="Notes" dataDxfId="0"/>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6F3F66C-1273-4896-8556-96D06103637C}" name="ResourceMonitor" displayName="ResourceMonitor" ref="O20:AA70" totalsRowShown="0" headerRowDxfId="252" tableBorderDxfId="251">
  <autoFilter ref="O20:AA70" xr:uid="{96F3F66C-1273-4896-8556-96D06103637C}"/>
  <tableColumns count="13">
    <tableColumn id="1" xr3:uid="{16E99F12-F955-4560-BAAB-C20203DBD0A6}" name="Resource" dataDxfId="250" dataCellStyle="Input"/>
    <tableColumn id="2" xr3:uid="{0E231D75-BCEA-4C0A-AA40-BF61BBCB02A4}" name="Amount Produced" dataDxfId="249" dataCellStyle="Output">
      <calculatedColumnFormula>SUMIFS(ResourceAvailable[Amount Produced],ResourceAvailable[Resource],ResourceMonitor[[#This Row],[Resource]])</calculatedColumnFormula>
    </tableColumn>
    <tableColumn id="3" xr3:uid="{686470B5-D9A6-42B8-AE8E-FF007A1B4460}" name="Amount Consumed" dataDxfId="248" dataCellStyle="Output">
      <calculatedColumnFormula>SUMIFS(ResourceAvailable[Amount Consumed],ResourceAvailable[Resource],ResourceMonitor[[#This Row],[Resource]])</calculatedColumnFormula>
    </tableColumn>
    <tableColumn id="4" xr3:uid="{64BD51A3-7F1A-4D43-B0B7-052C15AB2252}" name="Amount Available for Resident Consumption" dataDxfId="247" dataCellStyle="Output">
      <calculatedColumnFormula>SUMIFS(ResourceAvailable[Amount Available for Resident Consumption],ResourceAvailable[Resource],ResourceMonitor[[#This Row],[Resource]])</calculatedColumnFormula>
    </tableColumn>
    <tableColumn id="5" xr3:uid="{AD01C9B3-5A84-4918-B94E-998DADD206F2}" name="Amount Available After Resident Consumption" dataDxfId="246" dataCellStyle="Calculation">
      <calculatedColumnFormula>MAX(0,ResourceMonitor[[#This Row],[Amount Available for Resident Consumption]]-SUMIFS(ConsumptionModel[Resource Demand],ConsumptionModel[Resource],ResourceMonitor[[#This Row],[Resource]]))</calculatedColumnFormula>
    </tableColumn>
    <tableColumn id="6" xr3:uid="{A0429BBA-C9FA-456C-9E43-F9508D5848C2}" name="Shortfall vs resident demand" dataDxfId="245" dataCellStyle="Calculation">
      <calculatedColumnFormula>MIN(0,ResourceMonitor[[#This Row],[Amount Available for Resident Consumption]]-SUMIFS(ConsumptionModel[Resource Demand],ConsumptionModel[Resource],ResourceMonitor[[#This Row],[Resource]]))</calculatedColumnFormula>
    </tableColumn>
    <tableColumn id="8" xr3:uid="{8B40CFB6-BFB6-4E2F-BF34-354E4D7FE217}" name="Production Target" dataDxfId="244" dataCellStyle="Calculation">
      <calculatedColumnFormula>IFERROR(INDEX(#REF!,MATCH(ResourceMonitor[[#This Row],[Resource]],#REF!,0)),0)</calculatedColumnFormula>
    </tableColumn>
    <tableColumn id="7" xr3:uid="{FAE0F775-68D0-4BEC-B8C2-B4C22F2B4E50}" name="% to Production Target" dataDxfId="243" dataCellStyle="Percent">
      <calculatedColumnFormula>IFERROR(ResourceMonitor[[#This Row],[Amount Produced]]/ResourceMonitor[[#This Row],[Production Target]],0)</calculatedColumnFormula>
    </tableColumn>
    <tableColumn id="11" xr3:uid="{12CD138E-8117-4299-84ED-80A8B25DEC21}" name="Ignore shipping needs?" dataDxfId="242" dataCellStyle="Input"/>
    <tableColumn id="9" xr3:uid="{95C14674-66EB-47D7-8B16-509D2261B691}" name="Shipping needs (User defined 1)" dataDxfId="241" dataCellStyle="Output">
      <calculatedColumnFormula>IF(ResourceMonitor[[#This Row],[Ignore shipping needs?]]="Yes",0,ROUNDUP(ResourceMonitor[[#This Row],[Production Target]]/INDEX(ShipRequirementCalculator[Cargo capacity/h (return, 50% empty)],MATCH($X$15,ShipRequirementCalculator[Ship],0)),0))</calculatedColumnFormula>
    </tableColumn>
    <tableColumn id="14" xr3:uid="{9FD226EE-EF49-4155-8D5E-61264B4B695B}" name="Shipping needs (User defined 2)" dataDxfId="240" dataCellStyle="Output">
      <calculatedColumnFormula>IF(ResourceMonitor[[#This Row],[Ignore shipping needs?]]="Yes",0,ROUNDUP(ResourceMonitor[[#This Row],[Production Target]]/INDEX(ShipRequirementCalculator[Cargo capacity/h (return, 50% empty)],MATCH($Y$15,ShipRequirementCalculator[Ship],0)),0))</calculatedColumnFormula>
    </tableColumn>
    <tableColumn id="10" xr3:uid="{7A7C790E-2CD8-4A58-B6B8-A885E5971D7F}" name="Shipping needs (User defined 3)" dataDxfId="239" dataCellStyle="Output">
      <calculatedColumnFormula>IF(ResourceMonitor[[#This Row],[Ignore shipping needs?]]="Yes",0,ROUNDUP(ResourceMonitor[[#This Row],[Production Target]]/INDEX(ShipRequirementCalculator[Cargo capacity/h (return, 50% empty)],MATCH($Z$15,ShipRequirementCalculator[Ship],0)),0))</calculatedColumnFormula>
    </tableColumn>
    <tableColumn id="12" xr3:uid="{86780731-45D3-44E9-9D9B-BFBB814144DC}" name="Enough Ships?" dataDxfId="238" dataCellStyle="Normal"/>
  </tableColumns>
  <tableStyleInfo name="TableStyleLight1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AE73D75-B5A9-459B-95F7-D4E286A73390}" name="ConsumptionModelInputs" displayName="ConsumptionModelInputs" ref="B10:H16" totalsRowShown="0" dataDxfId="237" tableBorderDxfId="236" headerRowCellStyle="Normal" dataCellStyle="Output">
  <autoFilter ref="B10:H16" xr:uid="{6AE73D75-B5A9-459B-95F7-D4E286A73390}"/>
  <tableColumns count="7">
    <tableColumn id="1" xr3:uid="{D973EBC2-95A8-466D-94E2-1DAF37153EED}" name="Quantity" dataDxfId="235" dataCellStyle="Input"/>
    <tableColumn id="2" xr3:uid="{F4C9B49F-4DC1-4452-A755-8C3361EF86AB}" name="Building" dataDxfId="234" dataCellStyle="Input"/>
    <tableColumn id="5" xr3:uid="{9ED55068-F3F1-41A3-B867-9D9B2C144658}" name="Satisfaction" dataDxfId="233" dataCellStyle="Output">
      <calculatedColumnFormula>IF(ConsumptionModelInputs[[#This Row],[Quantity]]=0,"",IFERROR(SUMIFS(ConsumptionModel[Satisfaction],ConsumptionModel[Building],ConsumptionModelInputs[[#This Row],[Building]])/COUNTIFS(ConsumptionModel[Building],ConsumptionModelInputs[[#This Row],[Building]]),0))</calculatedColumnFormula>
    </tableColumn>
    <tableColumn id="6" xr3:uid="{769FD44D-1D75-4C0D-87AE-AE657A40EE1A}" name="Needs Satisfaction" dataDxfId="232" dataCellStyle="Output">
      <calculatedColumnFormula>IF(ConsumptionModelInputs[[#This Row],[Quantity]]=0,"",IFERROR(SUMIFS(ConsumptionModel[Satisfaction],ConsumptionModel[Building],ConsumptionModelInputs[[#This Row],[Building]],ConsumptionModel[Type],"Need")/COUNTIFS(ConsumptionModel[Building],ConsumptionModelInputs[[#This Row],[Building]],ConsumptionModel[Type],"Need"),0))</calculatedColumnFormula>
    </tableColumn>
    <tableColumn id="7" xr3:uid="{78639339-27AB-44C8-8C1B-E32051EB0D47}" name="Luxuries Satisfaction" dataDxfId="231" dataCellStyle="Output">
      <calculatedColumnFormula>IF(ConsumptionModelInputs[[#This Row],[Quantity]]=0,"",IFERROR(SUMIFS(ConsumptionModel[Satisfaction],ConsumptionModel[Building],ConsumptionModelInputs[[#This Row],[Building]],ConsumptionModel[Type],"Luxury")/COUNTIFS(ConsumptionModel[Building],ConsumptionModelInputs[[#This Row],[Building]],ConsumptionModel[Type],"Luxury"),0))</calculatedColumnFormula>
    </tableColumn>
    <tableColumn id="4" xr3:uid="{18053DB8-2BE0-484F-A8EB-339E5EBF248F}" name="Product" dataDxfId="230" dataCellStyle="Calculation">
      <calculatedColumnFormula>INDEX(Production[Resource Produced],MATCH(ConsumptionModelInputs[[#This Row],[Building]],Production[Building],0))</calculatedColumnFormula>
    </tableColumn>
    <tableColumn id="8" xr3:uid="{E1CA8876-20E7-4DF6-AA24-0035B9D600E5}" name="Amount Produced" dataDxfId="229" dataCellStyle="Output">
      <calculatedColumnFormula>SUMIFS(ConsumptionModel[Production Rate (per building per h) by Demanded Resource],ConsumptionModel[Building],ConsumptionModelInputs[[#This Row],[Building]])*IF(ConsumptionModelInputs[[#This Row],[Needs Satisfaction]]="",0,ConsumptionModelInputs[[#This Row],[Needs Satisfaction]])</calculatedColumnFormula>
    </tableColumn>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40B2423-5D72-4D61-AFB1-D0DB6DAF4B69}" name="ConsumptionModel" displayName="ConsumptionModel" ref="B20:K70" totalsRowShown="0" dataDxfId="228" tableBorderDxfId="227" headerRowCellStyle="Normal" dataCellStyle="Output">
  <autoFilter ref="B20:K70" xr:uid="{840B2423-5D72-4D61-AFB1-D0DB6DAF4B69}"/>
  <tableColumns count="10">
    <tableColumn id="1" xr3:uid="{86CECC06-4BCD-4884-9C11-B0A9F6C0EAAB}" name="ROW ID" dataDxfId="226" dataCellStyle="Calculation">
      <calculatedColumnFormula>ROW()</calculatedColumnFormula>
    </tableColumn>
    <tableColumn id="10" xr3:uid="{59C48AF5-75F9-4709-92B9-9FCF82E77E21}" name="Quantity" dataDxfId="225" dataCellStyle="Calculation">
      <calculatedColumnFormula>INDEX(ConsumptionModelInputs[Quantity],MATCH(ConsumptionModel[[#This Row],[Building]],ConsumptionModelInputs[Building],0))</calculatedColumnFormula>
    </tableColumn>
    <tableColumn id="2" xr3:uid="{E2C6B1E9-AEFF-4B94-BD7A-27A1736DC6B1}" name="Building" dataDxfId="224" dataCellStyle="Input"/>
    <tableColumn id="6" xr3:uid="{1F6C1183-4BF7-43B7-AC28-CD7DAC53B2FF}" name="Resource" dataDxfId="223" dataCellStyle="Input"/>
    <tableColumn id="11" xr3:uid="{7A3AC5E8-FA64-4B84-9ECE-9BA120B669C1}" name="Type" dataDxfId="222" dataCellStyle="Calculation">
      <calculatedColumnFormula>IF(OR(ISBLANK(ConsumptionModel[[#This Row],[Building]]),ISBLANK(ConsumptionModel[[#This Row],[Resource]]))," - ",INDEX(Consumption[Type],MATCH(ConsumptionModel[[#This Row],[LookupValue]],Consumption[LookupValue],0)))</calculatedColumnFormula>
    </tableColumn>
    <tableColumn id="7" xr3:uid="{84013C86-4994-4A09-A04B-CF9016F6DFBC}" name="LookupValue" dataDxfId="221" dataCellStyle="Calculation">
      <calculatedColumnFormula>IF(OR(ISBLANK(ConsumptionModel[[#This Row],[Building]]),ISBLANK(ConsumptionModel[[#This Row],[Resource]]))," - ",ConsumptionModel[[#This Row],[Building]]&amp;" - "&amp;ConsumptionModel[[#This Row],[Resource]])</calculatedColumnFormula>
    </tableColumn>
    <tableColumn id="8" xr3:uid="{FF944CE4-4445-44BC-9213-A2CDF2D1E903}" name="Resource Demand" dataDxfId="220" dataCellStyle="Output">
      <calculatedColumnFormula>ConsumptionModel[[#This Row],[Quantity]]*INDEX(Consumption[Consumption/person/h],MATCH(ConsumptionModel[[#This Row],[LookupValue]],Consumption[LookupValue],0))*IFERROR(INDEX(ResidentBuildings[Residents],MATCH(ConsumptionModel[[#This Row],[Building]],ResidentBuildings[Building],0)),0)</calculatedColumnFormula>
    </tableColumn>
    <tableColumn id="9" xr3:uid="{0E2C53C4-AD9B-4180-8E7B-0BEBB5B9F132}" name="Resource Available" dataDxfId="219" dataCellStyle="Output">
      <calculatedColumnFormula>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calculatedColumnFormula>
    </tableColumn>
    <tableColumn id="5" xr3:uid="{1994AE5B-AB55-41F8-8C52-26775A5336D2}" name="Satisfaction" dataDxfId="218" dataCellStyle="Percent">
      <calculatedColumnFormula>IF(ConsumptionModel[[#This Row],[Quantity]]=0,"",IF(AND(ConsumptionModel[[#This Row],[Resource Demand]]=0,ConsumptionModel[[#This Row],[Resource Available]]&gt;0),1,MIN(1,IFERROR(ConsumptionModel[[#This Row],[Resource Available]]/ConsumptionModel[[#This Row],[Resource Demand]],0))))</calculatedColumnFormula>
    </tableColumn>
    <tableColumn id="3" xr3:uid="{09005B24-F8BB-4739-8B55-3FC5322A0930}" name="Production Rate (per building per h) by Demanded Resource" dataDxfId="217" dataCellStyle="Calculation">
      <calculatedColumnFormula>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calculatedColumnFormula>
    </tableColumn>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516578F4-2FAE-44F8-BC37-B6BEECA0A1D1}" name="IslandModel_1000P" displayName="IslandModel_1000P" ref="AD20:DH147" totalsRowShown="0" headerRowDxfId="215">
  <autoFilter ref="AD20:DH147" xr:uid="{CC9A1BE9-ABB5-4C92-B24D-9AE68FC6619D}"/>
  <tableColumns count="83">
    <tableColumn id="57" xr3:uid="{223D1685-E026-44FD-A2E0-6F6F9609F817}" name="ROW ID" dataDxfId="214" dataCellStyle="Calculation">
      <calculatedColumnFormula>ROW()</calculatedColumnFormula>
    </tableColumn>
    <tableColumn id="1" xr3:uid="{6C18BA83-FF50-4CCC-9237-CF0F05F9D76B}" name="Quantity" dataDxfId="213" dataCellStyle="Input"/>
    <tableColumn id="2" xr3:uid="{2DE7F69C-2B26-4984-92FB-269E125E5E42}" name="Building" dataCellStyle="Input"/>
    <tableColumn id="8" xr3:uid="{C369526A-768B-4335-AD52-9678FCE5AA10}" name="Assume All Inputs Are Available?" dataCellStyle="Input"/>
    <tableColumn id="29" xr3:uid="{571013C9-C675-42A9-AC87-766D1F0F27F6}" name="Target Quantity" dataCellStyle="Input"/>
    <tableColumn id="28" xr3:uid="{54F9AC69-10DB-4F3A-9FD3-97D98BCD3B5D}" name="% to target" dataDxfId="212" dataCellStyle="Percent">
      <calculatedColumnFormula>IFERROR(IslandModel_1000P[[#This Row],[Quantity]]/IslandModel_1000P[[#This Row],[Target Quantity]],0)</calculatedColumnFormula>
    </tableColumn>
    <tableColumn id="3" xr3:uid="{0C2A7129-9A15-49A8-BC36-A279E124A30E}" name="Resource Produced" dataDxfId="211" dataCellStyle="Calculation">
      <calculatedColumnFormula>IFERROR(INDEX(Production[Resource Produced],MATCH(IslandModel_1000P[[#This Row],[Building]],Production[Building],0)),"")</calculatedColumnFormula>
    </tableColumn>
    <tableColumn id="4" xr3:uid="{19F8DD0E-F1C3-4CD1-8F6D-C10DF1FE3CB5}" name="Amount produced/h" dataDxfId="210" dataCellStyle="Output">
      <calculatedColumnFormula>IFERROR(IslandModel_1000P[[#This Row],[Quantity]]*INDEX(Production[Production in 1h],MATCH(IslandModel_1000P[[#This Row],[Building]],Production[Building],0))*IslandModel_1000P[[#This Row],[Input Consumption Multiplier]],0)</calculatedColumnFormula>
    </tableColumn>
    <tableColumn id="23" xr3:uid="{DD9BC246-DA43-4188-BF16-8CD5CB3AF4B5}" name="% to scale production by" dataDxfId="209" dataCellStyle="Percent">
      <calculatedColumnFormula>100%</calculatedColumnFormula>
    </tableColumn>
    <tableColumn id="25" xr3:uid="{71743F5E-C24C-4C0A-AEC9-E4326053EDE4}" name="Limiting factors" dataDxfId="208" dataCellStyle="Output">
      <calculatedColumnFormula>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calculatedColumnFormula>
    </tableColumn>
    <tableColumn id="5" xr3:uid="{84315DFB-E2A0-46D9-A67F-4B986070B41C}" name="Input 1" dataDxfId="207" dataCellStyle="Calculation">
      <calculatedColumnFormula>IFERROR(INDEX(Production[Input 1],MATCH(IslandModel_1000P[[#This Row],[Building]],Production[Building],0)),"")</calculatedColumnFormula>
    </tableColumn>
    <tableColumn id="19" xr3:uid="{CB887976-7627-47D9-B492-0BE3585EE04D}" name="Input 1 Assume Available" dataDxfId="206" dataCellStyle="Input"/>
    <tableColumn id="6" xr3:uid="{C3AF0AEB-F093-4DBC-8188-4D2D61B55166}" name="Input 1 Needed" dataDxfId="205" dataCellStyle="Calculation">
      <calculatedColumnFormula>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calculatedColumnFormula>
    </tableColumn>
    <tableColumn id="15" xr3:uid="{FC81A939-0A83-407C-8F3F-0004F6CC7687}" name="Input 1 Available" dataDxfId="204" dataCellStyle="Calculation">
      <calculatedColumnFormula>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calculatedColumnFormula>
    </tableColumn>
    <tableColumn id="63" xr3:uid="{C22863D2-3D87-4255-834F-17D3F818AEEF}" name="Input 1 Consumed" dataDxfId="203" dataCellStyle="Calculation">
      <calculatedColumnFormula>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calculatedColumnFormula>
    </tableColumn>
    <tableColumn id="7" xr3:uid="{49A2CCCC-4438-4B7F-823A-758AD273BB38}" name="Input 2" dataDxfId="202" dataCellStyle="Calculation">
      <calculatedColumnFormula>IFERROR(INDEX(Production[Input 2],MATCH(IslandModel_1000P[[#This Row],[Building]],Production[Building],0)),"")</calculatedColumnFormula>
    </tableColumn>
    <tableColumn id="20" xr3:uid="{D7541902-D83F-4D70-A30A-53F04AE219E8}" name="Input 2 Assume Available" dataDxfId="201" dataCellStyle="Input"/>
    <tableColumn id="9" xr3:uid="{5B579997-9F0B-4612-B6EB-2708B60E5F0B}" name="Input 2 Needed" dataDxfId="200" dataCellStyle="Calculation">
      <calculatedColumnFormula>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calculatedColumnFormula>
    </tableColumn>
    <tableColumn id="64" xr3:uid="{E9C05E72-9C72-4AA2-A62F-8B1ECDAB44D6}" name="Input 2 Available" dataDxfId="199" dataCellStyle="Calculation">
      <calculatedColumnFormula>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calculatedColumnFormula>
    </tableColumn>
    <tableColumn id="16" xr3:uid="{3FF572FE-EBC0-48F3-B814-52B8EA9A8F66}" name="Input 2 Consumed" dataDxfId="198" dataCellStyle="Calculation">
      <calculatedColumnFormula>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calculatedColumnFormula>
    </tableColumn>
    <tableColumn id="10" xr3:uid="{A4FFE91B-BF30-430A-BCA7-1A831075EEAA}" name="Input 3" dataDxfId="197" dataCellStyle="Calculation">
      <calculatedColumnFormula>IFERROR(INDEX(Production[Input 3],MATCH(IslandModel_1000P[[#This Row],[Building]],Production[Building],0)),"")</calculatedColumnFormula>
    </tableColumn>
    <tableColumn id="21" xr3:uid="{3F9E0F9E-BE87-4BC9-9433-F33F04C26DED}" name="Input 3 Assume Available" dataDxfId="196" dataCellStyle="Input"/>
    <tableColumn id="11" xr3:uid="{5A1AC6AC-64FA-4FB3-B0D4-985DAC1B0A0D}" name="Input 3 Needed" dataDxfId="195" dataCellStyle="Calculation">
      <calculatedColumnFormula>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calculatedColumnFormula>
    </tableColumn>
    <tableColumn id="65" xr3:uid="{BCD42236-BB6B-475A-A8A0-5B43D9BD9BA7}" name="Input 3 Available" dataDxfId="194" dataCellStyle="Calculation">
      <calculatedColumnFormula>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calculatedColumnFormula>
    </tableColumn>
    <tableColumn id="17" xr3:uid="{191E5361-FB36-4481-AA23-F8C965989FAD}" name="Input 3 Consumed" dataDxfId="193" dataCellStyle="Calculation">
      <calculatedColumnFormula>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calculatedColumnFormula>
    </tableColumn>
    <tableColumn id="12" xr3:uid="{67C35674-15AC-4DA3-ABBA-40CB76F00206}" name="Input 4" dataDxfId="192" dataCellStyle="Calculation">
      <calculatedColumnFormula>IFERROR(INDEX(Production[Input 4],MATCH(IslandModel_1000P[[#This Row],[Building]],Production[Building],0)),"")</calculatedColumnFormula>
    </tableColumn>
    <tableColumn id="22" xr3:uid="{05425173-418B-4CD7-8596-D0D2B3EAB063}" name="Input 4 Assume Available" dataDxfId="191" dataCellStyle="Input"/>
    <tableColumn id="13" xr3:uid="{91B08C18-1C8C-46DD-A434-A6692EE00DF0}" name="Input 4 Needed" dataDxfId="190" dataCellStyle="Calculation">
      <calculatedColumnFormula>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calculatedColumnFormula>
    </tableColumn>
    <tableColumn id="66" xr3:uid="{5A8D0D18-F68B-4D61-8EB7-2C34ABA986FA}" name="Input 4 Available" dataDxfId="189" dataCellStyle="Calculation">
      <calculatedColumnFormula>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calculatedColumnFormula>
    </tableColumn>
    <tableColumn id="18" xr3:uid="{FB49AC72-8105-412C-9D40-476B3CA5560D}" name="Input 4 Consumed" dataDxfId="188" dataCellStyle="Calculation">
      <calculatedColumnFormula>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calculatedColumnFormula>
    </tableColumn>
    <tableColumn id="169" xr3:uid="{9446B6C8-3B99-4DA0-8B6D-010F513FF8AA}" name="Input 5" dataDxfId="187" dataCellStyle="Calculation">
      <calculatedColumnFormula>IFERROR(INDEX(Production[Input 5],MATCH(IslandModel_1000P[[#This Row],[Building]],Production[Building],0)),"")</calculatedColumnFormula>
    </tableColumn>
    <tableColumn id="168" xr3:uid="{2B531645-FBCD-4CFD-8EE1-265CDF6C9791}" name="Input 5 Assume Available" dataDxfId="186" dataCellStyle="Input"/>
    <tableColumn id="167" xr3:uid="{B096F90E-1657-441E-A6B6-DB24C1B773B4}" name="Input 5 Needed" dataDxfId="185" dataCellStyle="Calculation">
      <calculatedColumnFormula>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calculatedColumnFormula>
    </tableColumn>
    <tableColumn id="166" xr3:uid="{D62AB550-7E22-4547-AA9C-22B10F3B009A}" name="Input 5 Available" dataDxfId="184" dataCellStyle="Calculation">
      <calculatedColumnFormula>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calculatedColumnFormula>
    </tableColumn>
    <tableColumn id="165" xr3:uid="{BAB3CF9B-37DD-48AA-9966-0958EA7A5E9A}" name="Input 5 Consumed" dataDxfId="183" dataCellStyle="Calculation">
      <calculatedColumnFormula>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calculatedColumnFormula>
    </tableColumn>
    <tableColumn id="164" xr3:uid="{8995560A-D973-4DF5-8771-3AF0B0846146}" name="Input 6" dataDxfId="182" dataCellStyle="Calculation">
      <calculatedColumnFormula>IFERROR(INDEX(Production[Input 6],MATCH(IslandModel_1000P[[#This Row],[Building]],Production[Building],0)),"")</calculatedColumnFormula>
    </tableColumn>
    <tableColumn id="163" xr3:uid="{60619912-FFD2-4BD7-A11B-3F77151885D8}" name="Input 6 Assume Available" dataDxfId="181" dataCellStyle="Input"/>
    <tableColumn id="162" xr3:uid="{F4016B7C-37DF-4C14-BF54-03731AA01723}" name="Input 6 Needed" dataDxfId="180" dataCellStyle="Calculation">
      <calculatedColumnFormula>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calculatedColumnFormula>
    </tableColumn>
    <tableColumn id="161" xr3:uid="{6F6D73C0-5389-47DC-9C33-4973AC8B8D4D}" name="Input 6 Available" dataDxfId="179" dataCellStyle="Calculation">
      <calculatedColumnFormula>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calculatedColumnFormula>
    </tableColumn>
    <tableColumn id="160" xr3:uid="{045F3D64-014C-4780-A19C-5967C99C28C9}" name="Input 6 Consumed" dataDxfId="178" dataCellStyle="Calculation">
      <calculatedColumnFormula>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calculatedColumnFormula>
    </tableColumn>
    <tableColumn id="159" xr3:uid="{D53B2065-B799-4A4B-8029-1B404A812338}" name="Input 7" dataDxfId="177" dataCellStyle="Calculation">
      <calculatedColumnFormula>IFERROR(INDEX(Production[Input 7],MATCH(IslandModel_1000P[[#This Row],[Building]],Production[Building],0)),"")</calculatedColumnFormula>
    </tableColumn>
    <tableColumn id="158" xr3:uid="{721800C8-EB3A-4201-AFFF-14FF2FCCCDA9}" name="Input 7 Assume Available" dataDxfId="176" dataCellStyle="Input"/>
    <tableColumn id="157" xr3:uid="{D4F2AC52-720E-46E3-9213-1480BD04DBE5}" name="Input 7 Needed" dataDxfId="175" dataCellStyle="Calculation">
      <calculatedColumnFormula>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calculatedColumnFormula>
    </tableColumn>
    <tableColumn id="156" xr3:uid="{90B951D4-02DB-459D-8E9D-E2BDC0BEE1CB}" name="Input 7 Available" dataDxfId="174" dataCellStyle="Calculation">
      <calculatedColumnFormula>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calculatedColumnFormula>
    </tableColumn>
    <tableColumn id="155" xr3:uid="{C910D0E1-FF73-4A87-B081-ADD6056864E8}" name="Input 7 Consumed" dataDxfId="173" dataCellStyle="Calculation">
      <calculatedColumnFormula>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calculatedColumnFormula>
    </tableColumn>
    <tableColumn id="154" xr3:uid="{943B6589-0EC9-4B93-93CE-5A03247D0878}" name="Input 8" dataDxfId="172" dataCellStyle="Calculation">
      <calculatedColumnFormula>IFERROR(INDEX(Production[Input 8],MATCH(IslandModel_1000P[[#This Row],[Building]],Production[Building],0)),"")</calculatedColumnFormula>
    </tableColumn>
    <tableColumn id="153" xr3:uid="{B7326181-1BAC-4812-B019-3D16678D1329}" name="Input 8 Assume Available" dataDxfId="171" dataCellStyle="Input"/>
    <tableColumn id="152" xr3:uid="{8BBFB638-8295-49CF-83E3-35C0C4645EA0}" name="Input 8 Needed" dataDxfId="170" dataCellStyle="Calculation">
      <calculatedColumnFormula>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calculatedColumnFormula>
    </tableColumn>
    <tableColumn id="151" xr3:uid="{B7D1248E-4F79-43DE-9671-6BC0B3634C00}" name="Input 8 Available" dataDxfId="169" dataCellStyle="Calculation">
      <calculatedColumnFormula>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calculatedColumnFormula>
    </tableColumn>
    <tableColumn id="150" xr3:uid="{0E53174A-9D83-409C-9E97-E661B3EC07DF}" name="Input 8 Consumed" dataDxfId="168" dataCellStyle="Calculation">
      <calculatedColumnFormula>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calculatedColumnFormula>
    </tableColumn>
    <tableColumn id="149" xr3:uid="{6B082273-1C36-4563-ABEC-56A094FEB7E5}" name="Input 9" dataDxfId="167" dataCellStyle="Calculation">
      <calculatedColumnFormula>IFERROR(INDEX(Production[Input 9],MATCH(IslandModel_1000P[[#This Row],[Building]],Production[Building],0)),"")</calculatedColumnFormula>
    </tableColumn>
    <tableColumn id="148" xr3:uid="{A2266212-83FA-42D7-A2F3-0F2516C5FB60}" name="Input 9 Assume Available" dataDxfId="166" dataCellStyle="Input"/>
    <tableColumn id="147" xr3:uid="{9A8F97E0-9509-4CBB-AAE4-8C794527FA15}" name="Input 9 Needed" dataDxfId="165" dataCellStyle="Calculation">
      <calculatedColumnFormula>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calculatedColumnFormula>
    </tableColumn>
    <tableColumn id="146" xr3:uid="{5D4002B4-4862-46F5-9596-CB826723A213}" name="Input 9 Available" dataDxfId="164" dataCellStyle="Calculation">
      <calculatedColumnFormula>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calculatedColumnFormula>
    </tableColumn>
    <tableColumn id="145" xr3:uid="{0E27B1F3-678E-42D3-A4ED-CA9DA7CFACD1}" name="Input 9 Consumed" dataDxfId="163" dataCellStyle="Calculation">
      <calculatedColumnFormula>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calculatedColumnFormula>
    </tableColumn>
    <tableColumn id="144" xr3:uid="{A9E4752E-408E-41FD-93FF-5FA8C0713F39}" name="Input 10" dataDxfId="162" dataCellStyle="Calculation">
      <calculatedColumnFormula>IFERROR(INDEX(Production[Input 10],MATCH(IslandModel_1000P[[#This Row],[Building]],Production[Building],0)),"")</calculatedColumnFormula>
    </tableColumn>
    <tableColumn id="143" xr3:uid="{3DF01111-89FD-4B0C-9D4C-3AA58FB06A19}" name="Input 10 Assume Available" dataDxfId="161" dataCellStyle="Input"/>
    <tableColumn id="142" xr3:uid="{F6700AB7-D506-4D80-B407-C322294A39EB}" name="Input 10 Needed" dataDxfId="160" dataCellStyle="Calculation">
      <calculatedColumnFormula>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calculatedColumnFormula>
    </tableColumn>
    <tableColumn id="141" xr3:uid="{029E2074-80D8-4BD2-9B7C-78C914F2F678}" name="Input 10 Available" dataDxfId="159" dataCellStyle="Calculation">
      <calculatedColumnFormula>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calculatedColumnFormula>
    </tableColumn>
    <tableColumn id="140" xr3:uid="{0ED85493-F741-44E5-A3F2-58CE5AFEBC66}" name="Input 10 Consumed" dataDxfId="158" dataCellStyle="Calculation">
      <calculatedColumnFormula>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calculatedColumnFormula>
    </tableColumn>
    <tableColumn id="14" xr3:uid="{350E9FBB-BA18-4164-B42A-111C1E3DC99E}" name="Input Consumption Multiplier" dataDxfId="157" dataCellStyle="Percent">
      <calculatedColumnFormula>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calculatedColumnFormula>
    </tableColumn>
    <tableColumn id="24" xr3:uid="{AECA5D26-7E0B-41ED-8579-DB8696918D89}" name="Resource 1" dataDxfId="156">
      <calculatedColumnFormula>IslandModel_1000P[[#This Row],[Resource Produced]]</calculatedColumnFormula>
    </tableColumn>
    <tableColumn id="58" xr3:uid="{709F60EB-949B-427B-9B88-4336B5AB4A10}" name="Resource 1 Qty" dataDxfId="155">
      <calculatedColumnFormula>IslandModel_1000P[[#This Row],[Amount produced/h]]</calculatedColumnFormula>
    </tableColumn>
    <tableColumn id="120" xr3:uid="{48B69FCA-E664-4D76-BE97-B6AC34E6EE87}" name="Resource 2" dataDxfId="154">
      <calculatedColumnFormula>IslandModel_1000P[[#This Row],[Input 1]]</calculatedColumnFormula>
    </tableColumn>
    <tableColumn id="121" xr3:uid="{5CCF0669-206C-4167-963E-7F1E2C555E3B}" name="Resource 2 Qty" dataDxfId="153">
      <calculatedColumnFormula>-IslandModel_1000P[[#This Row],[Input 1 Consumed]]</calculatedColumnFormula>
    </tableColumn>
    <tableColumn id="122" xr3:uid="{5A118D4A-2314-44E5-9184-B2FBF3D65A2F}" name="Resource 3" dataDxfId="152">
      <calculatedColumnFormula>IslandModel_1000P[[#This Row],[Input 2]]</calculatedColumnFormula>
    </tableColumn>
    <tableColumn id="123" xr3:uid="{E29CC4D2-C4B9-44EF-A7BE-16368BF12948}" name="Resource 3 Qty" dataDxfId="151">
      <calculatedColumnFormula>-IslandModel_1000P[[#This Row],[Input 2 Consumed]]</calculatedColumnFormula>
    </tableColumn>
    <tableColumn id="124" xr3:uid="{FFC2494A-440D-406F-A042-EED8E0F30F97}" name="Resource 4" dataDxfId="150">
      <calculatedColumnFormula>IslandModel_1000P[[#This Row],[Input 3]]</calculatedColumnFormula>
    </tableColumn>
    <tableColumn id="125" xr3:uid="{4204836F-9B87-479E-90F6-797ED98510F7}" name="Resource 4 Qty" dataDxfId="149">
      <calculatedColumnFormula>-IslandModel_1000P[[#This Row],[Input 3 Consumed]]</calculatedColumnFormula>
    </tableColumn>
    <tableColumn id="126" xr3:uid="{88CD4C06-4531-4A75-88AE-C3001C93B943}" name="Resource 5" dataDxfId="148">
      <calculatedColumnFormula>IslandModel_1000P[[#This Row],[Input 4]]</calculatedColumnFormula>
    </tableColumn>
    <tableColumn id="127" xr3:uid="{EA767BD5-53DF-434D-A544-CDAC18C07DAF}" name="Resource 5 Qty" dataDxfId="147">
      <calculatedColumnFormula>-IslandModel_1000P[[#This Row],[Input 4 Consumed]]</calculatedColumnFormula>
    </tableColumn>
    <tableColumn id="128" xr3:uid="{AA34A1CE-90B5-4791-9922-63D0ECD3896C}" name="Resource 6" dataDxfId="146">
      <calculatedColumnFormula>IslandModel_1000P[[#This Row],[Input 5]]</calculatedColumnFormula>
    </tableColumn>
    <tableColumn id="129" xr3:uid="{15E760F7-E927-4286-9055-24B8B703739C}" name="Resource 6 Qty" dataDxfId="145">
      <calculatedColumnFormula>-IslandModel_1000P[[#This Row],[Input 5 Consumed]]</calculatedColumnFormula>
    </tableColumn>
    <tableColumn id="130" xr3:uid="{1823E5FB-2659-428A-BBF3-FC50F29CBD4C}" name="Resource 7" dataDxfId="144">
      <calculatedColumnFormula>IslandModel_1000P[[#This Row],[Input 6]]</calculatedColumnFormula>
    </tableColumn>
    <tableColumn id="131" xr3:uid="{A91E1A20-E03A-43E2-9A51-FF6AA4305558}" name="Resource 7 Qty" dataDxfId="143">
      <calculatedColumnFormula>-IslandModel_1000P[[#This Row],[Input 6 Consumed]]</calculatedColumnFormula>
    </tableColumn>
    <tableColumn id="132" xr3:uid="{5D14803C-D133-4FC1-8E56-0A799B1AC9F4}" name="Resource 8" dataDxfId="142">
      <calculatedColumnFormula>IslandModel_1000P[[#This Row],[Input 7]]</calculatedColumnFormula>
    </tableColumn>
    <tableColumn id="133" xr3:uid="{AB8579E9-3329-42B3-AADE-8DF840F41A5F}" name="Resource 8 Qty" dataDxfId="141">
      <calculatedColumnFormula>-IslandModel_1000P[[#This Row],[Input 7 Consumed]]</calculatedColumnFormula>
    </tableColumn>
    <tableColumn id="134" xr3:uid="{E7B49153-4B95-4FCF-8194-BD1A0094C836}" name="Resource 9" dataDxfId="140">
      <calculatedColumnFormula>IslandModel_1000P[[#This Row],[Input 8]]</calculatedColumnFormula>
    </tableColumn>
    <tableColumn id="135" xr3:uid="{A826263E-EE5F-42FE-81DE-E53259D2B877}" name="Resource 9 Qty" dataDxfId="139">
      <calculatedColumnFormula>-IslandModel_1000P[[#This Row],[Input 8 Consumed]]</calculatedColumnFormula>
    </tableColumn>
    <tableColumn id="136" xr3:uid="{5AF183D8-09B5-4AED-B7DC-6C8FAA832354}" name="Resource 10" dataDxfId="138">
      <calculatedColumnFormula>IslandModel_1000P[[#This Row],[Input 9]]</calculatedColumnFormula>
    </tableColumn>
    <tableColumn id="137" xr3:uid="{FCE41894-540F-4E34-8FA3-8D1C71D6CCF5}" name="Resource 10 Qty" dataDxfId="137">
      <calculatedColumnFormula>-IslandModel_1000P[[#This Row],[Input 9 Consumed]]</calculatedColumnFormula>
    </tableColumn>
    <tableColumn id="138" xr3:uid="{BB93F5DD-41DC-4A63-87AB-F25AAAA0C6AB}" name="Resource 11" dataDxfId="136">
      <calculatedColumnFormula>IslandModel_1000P[[#This Row],[Input 10]]</calculatedColumnFormula>
    </tableColumn>
    <tableColumn id="139" xr3:uid="{E22888D0-BEA9-4102-8DFA-F1BAD2B74B9E}" name="Resource 11 Qty" dataDxfId="135">
      <calculatedColumnFormula>-IslandModel_1000P[[#This Row],[Input 10 Consumed]]</calculatedColumnFormula>
    </tableColumn>
  </tableColumns>
  <tableStyleInfo name="TableStyleLight14"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E48FC4A1-71C3-4665-912C-313553D089EF}" name="ResourceAvailable_1000P" displayName="ResourceAvailable_1000P" ref="DJ20:DN119" totalsRowShown="0" headerRowDxfId="134">
  <autoFilter ref="DJ20:DN119" xr:uid="{555B1D59-003C-4183-9B4F-334B8255ED0A}"/>
  <sortState xmlns:xlrd2="http://schemas.microsoft.com/office/spreadsheetml/2017/richdata2" ref="DJ21:DN118">
    <sortCondition ref="DJ21:DJ118"/>
  </sortState>
  <tableColumns count="5">
    <tableColumn id="1" xr3:uid="{D43BEEC6-0459-4147-BCEE-C593D84A55E9}" name="Resource" dataDxfId="133"/>
    <tableColumn id="2" xr3:uid="{7653C84E-99CE-477D-B3CE-EDD0ABF05557}" name="Amount Produced" dataDxfId="132" dataCellStyle="Calculation">
      <calculatedColumnFormula>SUM(SUMIFS(IslandModel_1000P[Resource 1 Qty],IslandModel_1000P[Resource 1],ResourceAvailable_1000P[[#This Row],[Resource]]))</calculatedColumnFormula>
    </tableColumn>
    <tableColumn id="3" xr3:uid="{1EA847AE-043B-4F81-9128-175D6030C5B7}" name="Amount Consumed" dataDxfId="131" dataCellStyle="Calculation">
      <calculatedColumnFormula>-1*SUM(SUMIFS(IslandModel_1000P[Resource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calculatedColumnFormula>
    </tableColumn>
    <tableColumn id="4" xr3:uid="{391F85B8-6775-4947-A7A4-F5371B53DC55}" name="Amount Available for Resident Consumption" dataDxfId="130" dataCellStyle="Calculation">
      <calculatedColumnFormula>ResourceAvailable_1000P[[#This Row],[Amount Produced]]-ResourceAvailable_1000P[[#This Row],[Amount Consumed]]</calculatedColumnFormula>
    </tableColumn>
    <tableColumn id="5" xr3:uid="{EB3B1279-21F2-4A1F-96EF-FD6C0D136A3D}" name="Amount Available after Resident Consumption" dataDxfId="129" dataCellStyle="Calculation">
      <calculatedColumnFormula>MAX(0,ResourceAvailable_1000P[[#This Row],[Amount Available for Resident Consumption]]-SUMIFS(ConsumptionModel_1000P[Resource Demand],ConsumptionModel_1000P[Resource],ResourceAvailable_1000P[[#This Row],[Resource]]))</calculatedColumnFormula>
    </tableColumn>
  </tableColumns>
  <tableStyleInfo name="TableStyleLight10"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D8A9E9CD-5335-460E-8E67-E23899BB5CCD}" name="ResourceMonitor_1000P" displayName="ResourceMonitor_1000P" ref="O20:AA70" totalsRowShown="0" headerRowDxfId="128" tableBorderDxfId="127">
  <autoFilter ref="O20:AA70" xr:uid="{96F3F66C-1273-4896-8556-96D06103637C}"/>
  <tableColumns count="13">
    <tableColumn id="1" xr3:uid="{B207EE11-107B-4425-8230-8B4919957327}" name="Resource" dataDxfId="126" dataCellStyle="Input"/>
    <tableColumn id="2" xr3:uid="{38AA6F99-4B36-4FEC-B69B-D1757FD6AD9A}" name="Amount Produced" dataDxfId="125" dataCellStyle="Output">
      <calculatedColumnFormula>SUMIFS(ResourceAvailable_1000P[Amount Produced],ResourceAvailable_1000P[Resource],ResourceMonitor_1000P[[#This Row],[Resource]])</calculatedColumnFormula>
    </tableColumn>
    <tableColumn id="3" xr3:uid="{C51A3059-2E22-4B0D-BCC0-58D46EBA7775}" name="Amount Consumed" dataDxfId="124" dataCellStyle="Output">
      <calculatedColumnFormula>SUMIFS(ResourceAvailable_1000P[Amount Consumed],ResourceAvailable_1000P[Resource],ResourceMonitor_1000P[[#This Row],[Resource]])</calculatedColumnFormula>
    </tableColumn>
    <tableColumn id="4" xr3:uid="{964359B1-FBCD-4061-BB5D-56B4A7A2277E}" name="Amount Available for Resident Consumption" dataDxfId="123" dataCellStyle="Output">
      <calculatedColumnFormula>SUMIFS(ResourceAvailable_1000P[Amount Available for Resident Consumption],ResourceAvailable_1000P[Resource],ResourceMonitor_1000P[[#This Row],[Resource]])</calculatedColumnFormula>
    </tableColumn>
    <tableColumn id="5" xr3:uid="{F0D2334E-5C50-415C-962F-8313D7E9C6DE}" name="Amount Available After Resident Consumption" dataDxfId="122" dataCellStyle="Calculation">
      <calculatedColumnFormula>MAX(0,ResourceMonitor_1000P[[#This Row],[Amount Available for Resident Consumption]]-SUMIFS(ConsumptionModel_1000P[Resource Demand],ConsumptionModel_1000P[Resource],ResourceMonitor_1000P[[#This Row],[Resource]]))</calculatedColumnFormula>
    </tableColumn>
    <tableColumn id="6" xr3:uid="{B107FAB7-B2F6-467A-8300-8228354D9E74}" name="Shortfall vs resident demand" dataDxfId="121" dataCellStyle="Calculation">
      <calculatedColumnFormula>MIN(0,ResourceMonitor_1000P[[#This Row],[Amount Available for Resident Consumption]]-SUMIFS(ConsumptionModel_1000P[Resource Demand],ConsumptionModel_1000P[Resource],ResourceMonitor_1000P[[#This Row],[Resource]]))</calculatedColumnFormula>
    </tableColumn>
    <tableColumn id="8" xr3:uid="{7CFCC02E-0A68-4429-8673-E0978DEBB151}" name="Production Target" dataDxfId="120" dataCellStyle="Calculation">
      <calculatedColumnFormula>IFERROR(INDEX(#REF!,MATCH(ResourceMonitor_1000P[[#This Row],[Resource]],#REF!,0)),0)</calculatedColumnFormula>
    </tableColumn>
    <tableColumn id="7" xr3:uid="{C36B486C-EA25-4091-AFAD-14C9E95B1688}" name="% to Production Target" dataDxfId="119" dataCellStyle="Percent">
      <calculatedColumnFormula>IFERROR(ResourceMonitor_1000P[[#This Row],[Amount Produced]]/ResourceMonitor_1000P[[#This Row],[Production Target]],0)</calculatedColumnFormula>
    </tableColumn>
    <tableColumn id="11" xr3:uid="{4B5AFED6-8700-4DE0-BD31-712ADD323F03}" name="Ignore shipping needs?" dataDxfId="118" dataCellStyle="Input"/>
    <tableColumn id="9" xr3:uid="{CDCE1A60-6C6A-4713-A362-0CEBC6BC9971}" name="Shipping needs (User defined 1)" dataDxfId="117" dataCellStyle="Output">
      <calculatedColumnFormula>IF(ResourceMonitor_1000P[[#This Row],[Ignore shipping needs?]]="Yes",0,ROUNDUP(ResourceMonitor_1000P[[#This Row],[Production Target]]/INDEX(ShipRequirementCalculator[Cargo capacity/h (return, 50% empty)],MATCH($X$15,ShipRequirementCalculator[Ship],0)),0))</calculatedColumnFormula>
    </tableColumn>
    <tableColumn id="14" xr3:uid="{89C828CE-AE78-458D-9837-67D23AD33A75}" name="Shipping needs (User defined 2)" dataDxfId="116" dataCellStyle="Output">
      <calculatedColumnFormula>IF(ResourceMonitor_1000P[[#This Row],[Ignore shipping needs?]]="Yes",0,ROUNDUP(ResourceMonitor_1000P[[#This Row],[Production Target]]/INDEX(ShipRequirementCalculator[Cargo capacity/h (return, 50% empty)],MATCH($Y$15,ShipRequirementCalculator[Ship],0)),0))</calculatedColumnFormula>
    </tableColumn>
    <tableColumn id="10" xr3:uid="{3E82FFE3-775E-4309-B51D-AEB6CC39B61D}" name="Shipping needs (User defined 3)" dataDxfId="115" dataCellStyle="Output">
      <calculatedColumnFormula>IF(ResourceMonitor_1000P[[#This Row],[Ignore shipping needs?]]="Yes",0,ROUNDUP(ResourceMonitor_1000P[[#This Row],[Production Target]]/INDEX(ShipRequirementCalculator[Cargo capacity/h (return, 50% empty)],MATCH($Z$15,ShipRequirementCalculator[Ship],0)),0))</calculatedColumnFormula>
    </tableColumn>
    <tableColumn id="12" xr3:uid="{62BBE129-67DA-44E5-B23C-9A7E91C0F58C}" name="Enough Ships?" dataDxfId="114" dataCellStyle="Normal"/>
  </tableColumns>
  <tableStyleInfo name="TableStyleLight1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F38DB2D6-DDD7-4547-8C9B-CBD805F8D5A2}" name="ConsumptionModelInputs_1000P" displayName="ConsumptionModelInputs_1000P" ref="B10:H16" totalsRowShown="0" dataDxfId="113" tableBorderDxfId="112" headerRowCellStyle="Normal" dataCellStyle="Output">
  <autoFilter ref="B10:H16" xr:uid="{6AE73D75-B5A9-459B-95F7-D4E286A73390}"/>
  <tableColumns count="7">
    <tableColumn id="1" xr3:uid="{695A7A24-5D6F-4E7D-8FDE-0A04407F0FBE}" name="Quantity" dataDxfId="111" dataCellStyle="Input"/>
    <tableColumn id="2" xr3:uid="{FE857EF4-F456-4366-BD4B-2E8192963CC2}" name="Building" dataDxfId="110" dataCellStyle="Input"/>
    <tableColumn id="5" xr3:uid="{21021017-7AF0-4E26-95E1-64FFCB6FAFAB}" name="Satisfaction" dataDxfId="109" dataCellStyle="Output">
      <calculatedColumnFormula>IF(ConsumptionModelInputs_1000P[[#This Row],[Quantity]]=0,"",IFERROR(SUMIFS(ConsumptionModel_1000P[Satisfaction],ConsumptionModel_1000P[Building],ConsumptionModelInputs_1000P[[#This Row],[Building]])/COUNTIFS(ConsumptionModel_1000P[Building],ConsumptionModelInputs_1000P[[#This Row],[Building]]),0))</calculatedColumnFormula>
    </tableColumn>
    <tableColumn id="6" xr3:uid="{2DAFB259-6B6B-46FA-8BF9-D9DD119A2727}" name="Needs Satisfaction" dataDxfId="108" dataCellStyle="Output">
      <calculatedColumnFormula>IF(ConsumptionModelInputs_1000P[[#This Row],[Quantity]]=0,"",IFERROR(SUMIFS(ConsumptionModel_1000P[Satisfaction],ConsumptionModel_1000P[Building],ConsumptionModelInputs_1000P[[#This Row],[Building]],ConsumptionModel_1000P[Type],"Need")/COUNTIFS(ConsumptionModel_1000P[Building],ConsumptionModelInputs_1000P[[#This Row],[Building]],ConsumptionModel_1000P[Type],"Need"),0))</calculatedColumnFormula>
    </tableColumn>
    <tableColumn id="7" xr3:uid="{C200EA97-2F90-49D5-A907-A59C77E00D1D}" name="Luxuries Satisfaction" dataDxfId="107" dataCellStyle="Output">
      <calculatedColumnFormula>IF(ConsumptionModelInputs_1000P[[#This Row],[Quantity]]=0,"",IFERROR(SUMIFS(ConsumptionModel_1000P[Satisfaction],ConsumptionModel_1000P[Building],ConsumptionModelInputs_1000P[[#This Row],[Building]],ConsumptionModel_1000P[Type],"Luxury")/COUNTIFS(ConsumptionModel_1000P[Building],ConsumptionModelInputs_1000P[[#This Row],[Building]],ConsumptionModel_1000P[Type],"Luxury"),0))</calculatedColumnFormula>
    </tableColumn>
    <tableColumn id="4" xr3:uid="{2E071A67-DA80-481F-897C-7251ACE7DDFA}" name="Product" dataDxfId="106" dataCellStyle="Calculation">
      <calculatedColumnFormula>INDEX(Production[Resource Produced],MATCH(ConsumptionModelInputs_1000P[[#This Row],[Building]],Production[Building],0))</calculatedColumnFormula>
    </tableColumn>
    <tableColumn id="8" xr3:uid="{773D102F-64B1-4275-84C7-1CD00824245D}" name="Amount Produced" dataDxfId="105" dataCellStyle="Output">
      <calculatedColumnFormula>SUMIFS(ConsumptionModel_1000P[Production Rate (per building per h) by Demanded Resource],ConsumptionModel_1000P[Building],ConsumptionModelInputs_1000P[[#This Row],[Building]])*IF(ConsumptionModelInputs_1000P[[#This Row],[Needs Satisfaction]]="",0,ConsumptionModelInputs_1000P[[#This Row],[Needs Satisfaction]])</calculatedColumnFormula>
    </tableColumn>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printerSettings" Target="../printerSettings/printerSettings2.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table" Target="../tables/table14.xml"/><Relationship Id="rId2" Type="http://schemas.openxmlformats.org/officeDocument/2006/relationships/hyperlink" Target="https://paragonpioneers.fandom.com/wiki/Buildings" TargetMode="External"/><Relationship Id="rId1" Type="http://schemas.openxmlformats.org/officeDocument/2006/relationships/hyperlink" Target="https://paragonpioneers.fandom.com/wiki/Population" TargetMode="External"/><Relationship Id="rId6" Type="http://schemas.openxmlformats.org/officeDocument/2006/relationships/table" Target="../tables/table13.xml"/><Relationship Id="rId5" Type="http://schemas.openxmlformats.org/officeDocument/2006/relationships/table" Target="../tables/table12.xml"/><Relationship Id="rId4" Type="http://schemas.openxmlformats.org/officeDocument/2006/relationships/table" Target="../tables/table1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printerSettings" Target="../printerSettings/printerSettings4.bin"/><Relationship Id="rId1" Type="http://schemas.openxmlformats.org/officeDocument/2006/relationships/hyperlink" Target="https://parpio-battle.github.io/parpio-battle/" TargetMode="External"/><Relationship Id="rId4" Type="http://schemas.openxmlformats.org/officeDocument/2006/relationships/table" Target="../tables/table16.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table" Target="../tables/table17.xml"/><Relationship Id="rId1" Type="http://schemas.openxmlformats.org/officeDocument/2006/relationships/printerSettings" Target="../printerSettings/printerSettings5.bin"/><Relationship Id="rId4" Type="http://schemas.openxmlformats.org/officeDocument/2006/relationships/table" Target="../tables/table19.xml"/></Relationships>
</file>

<file path=xl/worksheets/_rels/sheet7.xml.rels><?xml version="1.0" encoding="UTF-8" standalone="yes"?>
<Relationships xmlns="http://schemas.openxmlformats.org/package/2006/relationships"><Relationship Id="rId3" Type="http://schemas.openxmlformats.org/officeDocument/2006/relationships/table" Target="../tables/table21.xml"/><Relationship Id="rId2" Type="http://schemas.openxmlformats.org/officeDocument/2006/relationships/table" Target="../tables/table20.xml"/><Relationship Id="rId1" Type="http://schemas.openxmlformats.org/officeDocument/2006/relationships/printerSettings" Target="../printerSettings/printerSettings6.bin"/><Relationship Id="rId5" Type="http://schemas.openxmlformats.org/officeDocument/2006/relationships/table" Target="../tables/table23.xml"/><Relationship Id="rId4" Type="http://schemas.openxmlformats.org/officeDocument/2006/relationships/table" Target="../tables/table22.xml"/></Relationships>
</file>

<file path=xl/worksheets/_rels/sheet8.xml.rels><?xml version="1.0" encoding="UTF-8" standalone="yes"?>
<Relationships xmlns="http://schemas.openxmlformats.org/package/2006/relationships"><Relationship Id="rId2" Type="http://schemas.openxmlformats.org/officeDocument/2006/relationships/table" Target="../tables/table2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C552-6BEC-49FF-93FC-847FA9A4AB12}">
  <sheetPr>
    <tabColor rgb="FF92D050"/>
  </sheetPr>
  <dimension ref="A1:DN121"/>
  <sheetViews>
    <sheetView showGridLines="0" tabSelected="1" zoomScaleNormal="100" workbookViewId="0"/>
  </sheetViews>
  <sheetFormatPr defaultRowHeight="14.25" x14ac:dyDescent="0.45"/>
  <cols>
    <col min="2" max="2" width="14.796875" customWidth="1"/>
    <col min="3" max="3" width="19" bestFit="1" customWidth="1"/>
    <col min="4" max="4" width="18.6640625" customWidth="1"/>
    <col min="5" max="5" width="18.73046875" bestFit="1" customWidth="1"/>
    <col min="6" max="8" width="18.6640625" customWidth="1"/>
    <col min="9" max="9" width="30.46484375" bestFit="1" customWidth="1"/>
    <col min="10" max="10" width="7.3984375" bestFit="1" customWidth="1"/>
    <col min="11" max="11" width="22.46484375" customWidth="1"/>
    <col min="12" max="13" width="3.9296875" customWidth="1"/>
    <col min="14" max="14" width="41.33203125" customWidth="1"/>
    <col min="15" max="15" width="15.59765625" customWidth="1"/>
    <col min="16" max="16" width="13.9296875" bestFit="1" customWidth="1"/>
    <col min="17" max="17" width="15.1328125" bestFit="1" customWidth="1"/>
    <col min="18" max="18" width="14.06640625" bestFit="1" customWidth="1"/>
    <col min="19" max="19" width="15.59765625" customWidth="1"/>
    <col min="22" max="25" width="9.86328125" customWidth="1"/>
    <col min="27" max="27" width="9.33203125" bestFit="1" customWidth="1"/>
    <col min="30" max="30" width="9.53125" bestFit="1" customWidth="1"/>
    <col min="31" max="31" width="10.86328125" bestFit="1" customWidth="1"/>
    <col min="32" max="32" width="18.06640625" bestFit="1" customWidth="1"/>
    <col min="33" max="33" width="20.6640625" customWidth="1"/>
    <col min="34" max="34" width="11.86328125" customWidth="1"/>
    <col min="35" max="35" width="20.6640625" customWidth="1"/>
    <col min="36" max="36" width="14.6640625" customWidth="1"/>
    <col min="37" max="37" width="13.3984375" bestFit="1" customWidth="1"/>
    <col min="38" max="38" width="13.3984375" customWidth="1"/>
    <col min="39" max="39" width="15.9296875" bestFit="1" customWidth="1"/>
    <col min="40" max="40" width="10.59765625" customWidth="1"/>
    <col min="41" max="41" width="13.19921875" customWidth="1"/>
    <col min="42" max="58" width="10.1328125" customWidth="1"/>
    <col min="59" max="64" width="9.06640625" customWidth="1"/>
    <col min="65" max="89" width="9.06640625" hidden="1" customWidth="1"/>
    <col min="90" max="90" width="14.265625" customWidth="1"/>
    <col min="101" max="112" width="0" hidden="1" customWidth="1"/>
    <col min="114" max="114" width="14.46484375" bestFit="1" customWidth="1"/>
  </cols>
  <sheetData>
    <row r="1" spans="1:114" ht="23.25" x14ac:dyDescent="0.7">
      <c r="A1" s="1" t="s">
        <v>0</v>
      </c>
      <c r="B1" s="1"/>
      <c r="C1" s="1"/>
      <c r="D1" s="1"/>
      <c r="E1" s="1"/>
      <c r="F1" s="1"/>
      <c r="G1" s="1"/>
      <c r="H1" s="1"/>
      <c r="I1" s="1"/>
      <c r="J1" s="1"/>
      <c r="K1" s="1"/>
      <c r="L1" s="1"/>
      <c r="M1" s="1"/>
      <c r="O1" s="1"/>
      <c r="P1" s="1"/>
      <c r="Q1" s="1"/>
      <c r="R1" s="1"/>
      <c r="S1" s="1"/>
      <c r="T1" s="1"/>
      <c r="U1" s="1"/>
      <c r="V1" s="1"/>
      <c r="W1" s="1"/>
      <c r="X1" s="1"/>
      <c r="Y1" s="1"/>
      <c r="Z1" s="1"/>
      <c r="AA1" s="1"/>
      <c r="AB1" s="1"/>
      <c r="AC1" s="1"/>
    </row>
    <row r="2" spans="1:114" x14ac:dyDescent="0.45">
      <c r="A2" s="107" t="s">
        <v>969</v>
      </c>
      <c r="B2" s="32">
        <v>44778</v>
      </c>
      <c r="C2" s="7"/>
      <c r="D2" s="7"/>
      <c r="E2" s="7"/>
      <c r="F2" s="7"/>
      <c r="G2" s="7"/>
      <c r="H2" s="7"/>
      <c r="I2" s="7"/>
      <c r="J2" s="7"/>
      <c r="K2" s="7"/>
      <c r="L2" s="7"/>
      <c r="M2" s="7"/>
      <c r="N2" s="7"/>
      <c r="O2" s="7"/>
      <c r="P2" s="7"/>
      <c r="Q2" s="7"/>
      <c r="R2" s="7"/>
      <c r="S2" s="7"/>
      <c r="T2" s="7"/>
      <c r="U2" s="7"/>
      <c r="V2" s="7"/>
      <c r="W2" s="7"/>
      <c r="X2" s="7"/>
      <c r="Y2" s="7"/>
      <c r="Z2" s="7"/>
      <c r="AA2" s="7"/>
      <c r="AB2" s="7"/>
      <c r="AC2" s="7"/>
      <c r="AF2" s="32"/>
    </row>
    <row r="4" spans="1:114" ht="19.899999999999999" thickBot="1" x14ac:dyDescent="0.65">
      <c r="A4" s="6" t="s">
        <v>237</v>
      </c>
      <c r="C4" s="13" t="s">
        <v>835</v>
      </c>
      <c r="AD4" s="6" t="s">
        <v>279</v>
      </c>
      <c r="AG4" s="13" t="s">
        <v>357</v>
      </c>
    </row>
    <row r="5" spans="1:114" ht="14.65" thickTop="1" x14ac:dyDescent="0.45">
      <c r="AD5" s="166" t="s">
        <v>580</v>
      </c>
    </row>
    <row r="6" spans="1:114" ht="19.899999999999999" thickBot="1" x14ac:dyDescent="0.65">
      <c r="B6" s="6" t="s">
        <v>581</v>
      </c>
      <c r="E6" s="13" t="s">
        <v>356</v>
      </c>
      <c r="O6" s="6" t="s">
        <v>278</v>
      </c>
      <c r="Q6" s="13" t="s">
        <v>355</v>
      </c>
      <c r="AD6" s="166" t="s">
        <v>353</v>
      </c>
      <c r="DJ6" s="6" t="s">
        <v>280</v>
      </c>
    </row>
    <row r="7" spans="1:114" ht="14.65" thickTop="1" x14ac:dyDescent="0.45">
      <c r="E7" s="13" t="s">
        <v>582</v>
      </c>
      <c r="DJ7" s="75" t="s">
        <v>292</v>
      </c>
    </row>
    <row r="8" spans="1:114" x14ac:dyDescent="0.45">
      <c r="AD8" s="166" t="s">
        <v>339</v>
      </c>
    </row>
    <row r="9" spans="1:114" ht="53.25" x14ac:dyDescent="0.45">
      <c r="B9" s="17" t="s">
        <v>314</v>
      </c>
      <c r="C9" s="17" t="s">
        <v>315</v>
      </c>
      <c r="D9" s="17" t="s">
        <v>316</v>
      </c>
      <c r="E9" s="17" t="s">
        <v>319</v>
      </c>
      <c r="F9" s="17" t="s">
        <v>320</v>
      </c>
      <c r="G9" s="17" t="s">
        <v>579</v>
      </c>
      <c r="H9" s="17" t="s">
        <v>584</v>
      </c>
      <c r="AD9" s="166" t="s">
        <v>346</v>
      </c>
    </row>
    <row r="10" spans="1:114" x14ac:dyDescent="0.45">
      <c r="B10" t="s">
        <v>208</v>
      </c>
      <c r="C10" t="s">
        <v>37</v>
      </c>
      <c r="D10" s="54" t="s">
        <v>311</v>
      </c>
      <c r="E10" s="54" t="s">
        <v>317</v>
      </c>
      <c r="F10" s="54" t="s">
        <v>318</v>
      </c>
      <c r="G10" s="54" t="s">
        <v>577</v>
      </c>
      <c r="H10" s="54" t="s">
        <v>240</v>
      </c>
      <c r="AD10" s="166" t="s">
        <v>296</v>
      </c>
    </row>
    <row r="11" spans="1:114" ht="21" x14ac:dyDescent="0.45">
      <c r="B11" s="84">
        <v>10</v>
      </c>
      <c r="C11" s="50" t="s">
        <v>55</v>
      </c>
      <c r="D11" s="57">
        <f>IF(ConsumptionModelInputs[[#This Row],[Quantity]]=0,"",IFERROR(SUMIFS(ConsumptionModel[Satisfaction],ConsumptionModel[Building],ConsumptionModelInputs[[#This Row],[Building]])/COUNTIFS(ConsumptionModel[Building],ConsumptionModelInputs[[#This Row],[Building]]),0))</f>
        <v>0</v>
      </c>
      <c r="E11" s="57">
        <f>IF(ConsumptionModelInputs[[#This Row],[Quantity]]=0,"",IFERROR(SUMIFS(ConsumptionModel[Satisfaction],ConsumptionModel[Building],ConsumptionModelInputs[[#This Row],[Building]],ConsumptionModel[Type],"Need")/COUNTIFS(ConsumptionModel[Building],ConsumptionModelInputs[[#This Row],[Building]],ConsumptionModel[Type],"Need"),0))</f>
        <v>0</v>
      </c>
      <c r="F11" s="57">
        <f>IF(ConsumptionModelInputs[[#This Row],[Quantity]]=0,"",IFERROR(SUMIFS(ConsumptionModel[Satisfaction],ConsumptionModel[Building],ConsumptionModelInputs[[#This Row],[Building]],ConsumptionModel[Type],"Luxury")/COUNTIFS(ConsumptionModel[Building],ConsumptionModelInputs[[#This Row],[Building]],ConsumptionModel[Type],"Luxury"),0))</f>
        <v>0</v>
      </c>
      <c r="G11" s="112" t="str">
        <f>INDEX(Production[Resource Produced],MATCH(ConsumptionModelInputs[[#This Row],[Building]],Production[Building],0))</f>
        <v>Militia</v>
      </c>
      <c r="H11" s="113">
        <f>SUMIFS(ConsumptionModel[Production Rate (per building per h) by Demanded Resource],ConsumptionModel[Building],ConsumptionModelInputs[[#This Row],[Building]])*IF(ConsumptionModelInputs[[#This Row],[Needs Satisfaction]]="",0,ConsumptionModelInputs[[#This Row],[Needs Satisfaction]])</f>
        <v>0</v>
      </c>
      <c r="AD11" s="166" t="s">
        <v>295</v>
      </c>
    </row>
    <row r="12" spans="1:114" ht="21" x14ac:dyDescent="0.45">
      <c r="B12" s="85"/>
      <c r="C12" s="50" t="s">
        <v>403</v>
      </c>
      <c r="D12" s="63" t="str">
        <f>IF(ConsumptionModelInputs[[#This Row],[Quantity]]=0,"",IFERROR(SUMIFS(ConsumptionModel[Satisfaction],ConsumptionModel[Building],ConsumptionModelInputs[[#This Row],[Building]])/COUNTIFS(ConsumptionModel[Building],ConsumptionModelInputs[[#This Row],[Building]]),0))</f>
        <v/>
      </c>
      <c r="E12" s="63" t="str">
        <f>IF(ConsumptionModelInputs[[#This Row],[Quantity]]=0,"",IFERROR(SUMIFS(ConsumptionModel[Satisfaction],ConsumptionModel[Building],ConsumptionModelInputs[[#This Row],[Building]],ConsumptionModel[Type],"Need")/COUNTIFS(ConsumptionModel[Building],ConsumptionModelInputs[[#This Row],[Building]],ConsumptionModel[Type],"Need"),0))</f>
        <v/>
      </c>
      <c r="F12" s="63" t="str">
        <f>IF(ConsumptionModelInputs[[#This Row],[Quantity]]=0,"",IFERROR(SUMIFS(ConsumptionModel[Satisfaction],ConsumptionModel[Building],ConsumptionModelInputs[[#This Row],[Building]],ConsumptionModel[Type],"Luxury")/COUNTIFS(ConsumptionModel[Building],ConsumptionModelInputs[[#This Row],[Building]],ConsumptionModel[Type],"Luxury"),0))</f>
        <v/>
      </c>
      <c r="G12" s="112" t="str">
        <f>INDEX(Production[Resource Produced],MATCH(ConsumptionModelInputs[[#This Row],[Building]],Production[Building],0))</f>
        <v>Militia</v>
      </c>
      <c r="H12" s="113">
        <f>SUMIFS(ConsumptionModel[Production Rate (per building per h) by Demanded Resource],ConsumptionModel[Building],ConsumptionModelInputs[[#This Row],[Building]])*IF(ConsumptionModelInputs[[#This Row],[Needs Satisfaction]]="",0,ConsumptionModelInputs[[#This Row],[Needs Satisfaction]])</f>
        <v>0</v>
      </c>
    </row>
    <row r="13" spans="1:114" ht="21" x14ac:dyDescent="0.45">
      <c r="B13" s="85">
        <v>10</v>
      </c>
      <c r="C13" s="50" t="s">
        <v>56</v>
      </c>
      <c r="D13" s="63">
        <f>IF(ConsumptionModelInputs[[#This Row],[Quantity]]=0,"",IFERROR(SUMIFS(ConsumptionModel[Satisfaction],ConsumptionModel[Building],ConsumptionModelInputs[[#This Row],[Building]])/COUNTIFS(ConsumptionModel[Building],ConsumptionModelInputs[[#This Row],[Building]]),0))</f>
        <v>0</v>
      </c>
      <c r="E13" s="63">
        <f>IF(ConsumptionModelInputs[[#This Row],[Quantity]]=0,"",IFERROR(SUMIFS(ConsumptionModel[Satisfaction],ConsumptionModel[Building],ConsumptionModelInputs[[#This Row],[Building]],ConsumptionModel[Type],"Need")/COUNTIFS(ConsumptionModel[Building],ConsumptionModelInputs[[#This Row],[Building]],ConsumptionModel[Type],"Need"),0))</f>
        <v>0</v>
      </c>
      <c r="F13" s="63">
        <f>IF(ConsumptionModelInputs[[#This Row],[Quantity]]=0,"",IFERROR(SUMIFS(ConsumptionModel[Satisfaction],ConsumptionModel[Building],ConsumptionModelInputs[[#This Row],[Building]],ConsumptionModel[Type],"Luxury")/COUNTIFS(ConsumptionModel[Building],ConsumptionModelInputs[[#This Row],[Building]],ConsumptionModel[Type],"Luxury"),0))</f>
        <v>0</v>
      </c>
      <c r="G13" s="112" t="str">
        <f>INDEX(Production[Resource Produced],MATCH(ConsumptionModelInputs[[#This Row],[Building]],Production[Building],0))</f>
        <v>Gold</v>
      </c>
      <c r="H13" s="113">
        <f>SUMIFS(ConsumptionModel[Production Rate (per building per h) by Demanded Resource],ConsumptionModel[Building],ConsumptionModelInputs[[#This Row],[Building]])*IF(ConsumptionModelInputs[[#This Row],[Needs Satisfaction]]="",0,ConsumptionModelInputs[[#This Row],[Needs Satisfaction]])</f>
        <v>0</v>
      </c>
    </row>
    <row r="14" spans="1:114" ht="21" x14ac:dyDescent="0.45">
      <c r="B14" s="85">
        <v>10</v>
      </c>
      <c r="C14" s="50" t="s">
        <v>57</v>
      </c>
      <c r="D14" s="63">
        <f>IF(ConsumptionModelInputs[[#This Row],[Quantity]]=0,"",IFERROR(SUMIFS(ConsumptionModel[Satisfaction],ConsumptionModel[Building],ConsumptionModelInputs[[#This Row],[Building]])/COUNTIFS(ConsumptionModel[Building],ConsumptionModelInputs[[#This Row],[Building]]),0))</f>
        <v>0</v>
      </c>
      <c r="E14" s="63">
        <f>IF(ConsumptionModelInputs[[#This Row],[Quantity]]=0,"",IFERROR(SUMIFS(ConsumptionModel[Satisfaction],ConsumptionModel[Building],ConsumptionModelInputs[[#This Row],[Building]],ConsumptionModel[Type],"Need")/COUNTIFS(ConsumptionModel[Building],ConsumptionModelInputs[[#This Row],[Building]],ConsumptionModel[Type],"Need"),0))</f>
        <v>0</v>
      </c>
      <c r="F14" s="63">
        <f>IF(ConsumptionModelInputs[[#This Row],[Quantity]]=0,"",IFERROR(SUMIFS(ConsumptionModel[Satisfaction],ConsumptionModel[Building],ConsumptionModelInputs[[#This Row],[Building]],ConsumptionModel[Type],"Luxury")/COUNTIFS(ConsumptionModel[Building],ConsumptionModelInputs[[#This Row],[Building]],ConsumptionModel[Type],"Luxury"),0))</f>
        <v>0</v>
      </c>
      <c r="G14" s="112" t="str">
        <f>INDEX(Production[Resource Produced],MATCH(ConsumptionModelInputs[[#This Row],[Building]],Production[Building],0))</f>
        <v>Gold</v>
      </c>
      <c r="H14" s="113">
        <f>SUMIFS(ConsumptionModel[Production Rate (per building per h) by Demanded Resource],ConsumptionModel[Building],ConsumptionModelInputs[[#This Row],[Building]])*IF(ConsumptionModelInputs[[#This Row],[Needs Satisfaction]]="",0,ConsumptionModelInputs[[#This Row],[Needs Satisfaction]])</f>
        <v>0</v>
      </c>
      <c r="X14" s="107" t="s">
        <v>934</v>
      </c>
    </row>
    <row r="15" spans="1:114" ht="21" x14ac:dyDescent="0.45">
      <c r="B15" s="85">
        <v>12</v>
      </c>
      <c r="C15" s="50" t="s">
        <v>58</v>
      </c>
      <c r="D15" s="63">
        <f>IF(ConsumptionModelInputs[[#This Row],[Quantity]]=0,"",IFERROR(SUMIFS(ConsumptionModel[Satisfaction],ConsumptionModel[Building],ConsumptionModelInputs[[#This Row],[Building]])/COUNTIFS(ConsumptionModel[Building],ConsumptionModelInputs[[#This Row],[Building]]),0))</f>
        <v>0</v>
      </c>
      <c r="E15" s="63">
        <f>IF(ConsumptionModelInputs[[#This Row],[Quantity]]=0,"",IFERROR(SUMIFS(ConsumptionModel[Satisfaction],ConsumptionModel[Building],ConsumptionModelInputs[[#This Row],[Building]],ConsumptionModel[Type],"Need")/COUNTIFS(ConsumptionModel[Building],ConsumptionModelInputs[[#This Row],[Building]],ConsumptionModel[Type],"Need"),0))</f>
        <v>0</v>
      </c>
      <c r="F15" s="63">
        <f>IF(ConsumptionModelInputs[[#This Row],[Quantity]]=0,"",IFERROR(SUMIFS(ConsumptionModel[Satisfaction],ConsumptionModel[Building],ConsumptionModelInputs[[#This Row],[Building]],ConsumptionModel[Type],"Luxury")/COUNTIFS(ConsumptionModel[Building],ConsumptionModelInputs[[#This Row],[Building]],ConsumptionModel[Type],"Luxury"),0))</f>
        <v>0</v>
      </c>
      <c r="G15" s="112" t="str">
        <f>INDEX(Production[Resource Produced],MATCH(ConsumptionModelInputs[[#This Row],[Building]],Production[Building],0))</f>
        <v>Gold</v>
      </c>
      <c r="H15" s="113">
        <f>SUMIFS(ConsumptionModel[Production Rate (per building per h) by Demanded Resource],ConsumptionModel[Building],ConsumptionModelInputs[[#This Row],[Building]])*IF(ConsumptionModelInputs[[#This Row],[Needs Satisfaction]]="",0,ConsumptionModelInputs[[#This Row],[Needs Satisfaction]])</f>
        <v>0</v>
      </c>
      <c r="I15" s="13"/>
      <c r="J15" s="13"/>
      <c r="K15" s="13"/>
      <c r="L15" s="13"/>
      <c r="M15" s="13"/>
      <c r="N15" s="13"/>
      <c r="O15" s="13"/>
      <c r="P15" s="13"/>
      <c r="Q15" s="13"/>
      <c r="R15" s="13"/>
      <c r="S15" s="13"/>
      <c r="T15" s="13"/>
      <c r="U15" s="13"/>
      <c r="V15" s="13"/>
      <c r="X15" s="142" t="s">
        <v>77</v>
      </c>
      <c r="Y15" s="142" t="s">
        <v>78</v>
      </c>
      <c r="Z15" s="142" t="s">
        <v>80</v>
      </c>
      <c r="AA15" s="13"/>
      <c r="AB15" s="13"/>
      <c r="AC15" s="13"/>
      <c r="AF15" s="66" t="s">
        <v>340</v>
      </c>
      <c r="AG15" s="68">
        <v>60</v>
      </c>
      <c r="AH15" s="13" t="s">
        <v>343</v>
      </c>
    </row>
    <row r="16" spans="1:114" ht="21" x14ac:dyDescent="0.45">
      <c r="B16" s="85">
        <v>34</v>
      </c>
      <c r="C16" s="50" t="s">
        <v>59</v>
      </c>
      <c r="D16" s="63">
        <f>IF(ConsumptionModelInputs[[#This Row],[Quantity]]=0,"",IFERROR(SUMIFS(ConsumptionModel[Satisfaction],ConsumptionModel[Building],ConsumptionModelInputs[[#This Row],[Building]])/COUNTIFS(ConsumptionModel[Building],ConsumptionModelInputs[[#This Row],[Building]]),0))</f>
        <v>0</v>
      </c>
      <c r="E16" s="63">
        <f>IF(ConsumptionModelInputs[[#This Row],[Quantity]]=0,"",IFERROR(SUMIFS(ConsumptionModel[Satisfaction],ConsumptionModel[Building],ConsumptionModelInputs[[#This Row],[Building]],ConsumptionModel[Type],"Need")/COUNTIFS(ConsumptionModel[Building],ConsumptionModelInputs[[#This Row],[Building]],ConsumptionModel[Type],"Need"),0))</f>
        <v>0</v>
      </c>
      <c r="F16" s="63">
        <f>IF(ConsumptionModelInputs[[#This Row],[Quantity]]=0,"",IFERROR(SUMIFS(ConsumptionModel[Satisfaction],ConsumptionModel[Building],ConsumptionModelInputs[[#This Row],[Building]],ConsumptionModel[Type],"Luxury")/COUNTIFS(ConsumptionModel[Building],ConsumptionModelInputs[[#This Row],[Building]],ConsumptionModel[Type],"Luxury"),0))</f>
        <v>0</v>
      </c>
      <c r="G16" s="112" t="str">
        <f>INDEX(Production[Resource Produced],MATCH(ConsumptionModelInputs[[#This Row],[Building]],Production[Building],0))</f>
        <v>Favor</v>
      </c>
      <c r="H16" s="113">
        <f>SUMIFS(ConsumptionModel[Production Rate (per building per h) by Demanded Resource],ConsumptionModel[Building],ConsumptionModelInputs[[#This Row],[Building]])*IF(ConsumptionModelInputs[[#This Row],[Needs Satisfaction]]="",0,ConsumptionModelInputs[[#This Row],[Needs Satisfaction]])</f>
        <v>0</v>
      </c>
      <c r="AF16" s="66" t="s">
        <v>341</v>
      </c>
      <c r="AG16" s="67">
        <f>ROUNDUP(((AG15-2)^2)-(4*(AG15-3)*50%)-(4*(AG15-4)*25%),0)</f>
        <v>3194</v>
      </c>
      <c r="AH16" s="13" t="s">
        <v>344</v>
      </c>
    </row>
    <row r="17" spans="2:118" x14ac:dyDescent="0.45">
      <c r="AF17" s="66" t="s">
        <v>342</v>
      </c>
      <c r="AG17" s="67">
        <f>ROUNDUP((((AG15-1)*4*25%)*2)+((AG15-1)*4),0)</f>
        <v>354</v>
      </c>
      <c r="AH17" s="13" t="s">
        <v>345</v>
      </c>
    </row>
    <row r="18" spans="2:118" ht="19.899999999999999" thickBot="1" x14ac:dyDescent="0.65">
      <c r="B18" s="6" t="s">
        <v>300</v>
      </c>
      <c r="D18" s="166" t="s">
        <v>354</v>
      </c>
      <c r="AH18" s="13" t="s">
        <v>348</v>
      </c>
    </row>
    <row r="19" spans="2:118" ht="106.15" thickTop="1" x14ac:dyDescent="0.45">
      <c r="F19" s="17" t="s">
        <v>327</v>
      </c>
      <c r="G19" s="17" t="s">
        <v>328</v>
      </c>
      <c r="H19" s="17" t="s">
        <v>350</v>
      </c>
      <c r="I19" s="17" t="s">
        <v>329</v>
      </c>
      <c r="J19" s="17" t="s">
        <v>326</v>
      </c>
      <c r="K19" s="17" t="s">
        <v>578</v>
      </c>
      <c r="O19" s="17" t="s">
        <v>276</v>
      </c>
      <c r="P19" s="17" t="s">
        <v>277</v>
      </c>
      <c r="Q19" s="17" t="s">
        <v>351</v>
      </c>
      <c r="R19" s="17" t="s">
        <v>352</v>
      </c>
      <c r="S19" s="17" t="s">
        <v>549</v>
      </c>
      <c r="T19" s="17" t="s">
        <v>550</v>
      </c>
      <c r="U19" s="17" t="s">
        <v>823</v>
      </c>
      <c r="V19" s="17" t="s">
        <v>824</v>
      </c>
      <c r="W19" s="17" t="s">
        <v>827</v>
      </c>
      <c r="X19" s="17" t="s">
        <v>930</v>
      </c>
      <c r="Y19" s="17" t="s">
        <v>679</v>
      </c>
      <c r="Z19" s="17" t="s">
        <v>680</v>
      </c>
      <c r="AA19" s="17" t="s">
        <v>828</v>
      </c>
      <c r="AD19" s="17" t="s">
        <v>285</v>
      </c>
      <c r="AE19" s="17" t="s">
        <v>286</v>
      </c>
      <c r="AF19" s="17" t="s">
        <v>287</v>
      </c>
      <c r="AG19" s="17" t="s">
        <v>293</v>
      </c>
      <c r="AH19" s="17" t="s">
        <v>817</v>
      </c>
      <c r="AI19" s="17"/>
      <c r="AJ19" s="17" t="s">
        <v>288</v>
      </c>
      <c r="AK19" s="17" t="s">
        <v>289</v>
      </c>
      <c r="AL19" s="17" t="s">
        <v>466</v>
      </c>
      <c r="AM19" s="17" t="s">
        <v>586</v>
      </c>
      <c r="AN19" s="17" t="s">
        <v>290</v>
      </c>
      <c r="AO19" s="17" t="s">
        <v>294</v>
      </c>
      <c r="AP19" s="17" t="s">
        <v>273</v>
      </c>
      <c r="AQ19" s="17" t="s">
        <v>263</v>
      </c>
      <c r="AR19" s="17" t="s">
        <v>291</v>
      </c>
      <c r="AS19" s="17"/>
      <c r="CL19" s="17"/>
      <c r="CM19" s="46"/>
    </row>
    <row r="20" spans="2:118" ht="85.9" thickBot="1" x14ac:dyDescent="0.5">
      <c r="B20" t="s">
        <v>257</v>
      </c>
      <c r="C20" t="s">
        <v>208</v>
      </c>
      <c r="D20" t="s">
        <v>37</v>
      </c>
      <c r="E20" t="s">
        <v>239</v>
      </c>
      <c r="F20" t="s">
        <v>321</v>
      </c>
      <c r="G20" s="8" t="s">
        <v>308</v>
      </c>
      <c r="H20" s="8" t="s">
        <v>312</v>
      </c>
      <c r="I20" s="8" t="s">
        <v>313</v>
      </c>
      <c r="J20" s="111" t="s">
        <v>311</v>
      </c>
      <c r="K20" s="111" t="s">
        <v>583</v>
      </c>
      <c r="N20" s="195" t="s">
        <v>830</v>
      </c>
      <c r="O20" s="43" t="s">
        <v>239</v>
      </c>
      <c r="P20" s="44" t="s">
        <v>240</v>
      </c>
      <c r="Q20" s="44" t="s">
        <v>241</v>
      </c>
      <c r="R20" s="45" t="s">
        <v>359</v>
      </c>
      <c r="S20" s="45" t="s">
        <v>358</v>
      </c>
      <c r="T20" s="45" t="s">
        <v>548</v>
      </c>
      <c r="U20" s="44" t="s">
        <v>678</v>
      </c>
      <c r="V20" s="44" t="s">
        <v>825</v>
      </c>
      <c r="W20" s="44" t="s">
        <v>826</v>
      </c>
      <c r="X20" s="44" t="s">
        <v>931</v>
      </c>
      <c r="Y20" s="44" t="s">
        <v>932</v>
      </c>
      <c r="Z20" s="44" t="s">
        <v>933</v>
      </c>
      <c r="AA20" s="44" t="s">
        <v>829</v>
      </c>
      <c r="AD20" s="8" t="s">
        <v>257</v>
      </c>
      <c r="AE20" s="8" t="s">
        <v>208</v>
      </c>
      <c r="AF20" s="8" t="s">
        <v>37</v>
      </c>
      <c r="AG20" s="8" t="s">
        <v>247</v>
      </c>
      <c r="AH20" s="8" t="s">
        <v>816</v>
      </c>
      <c r="AI20" s="8" t="s">
        <v>818</v>
      </c>
      <c r="AJ20" s="8" t="s">
        <v>38</v>
      </c>
      <c r="AK20" s="8" t="s">
        <v>349</v>
      </c>
      <c r="AL20" s="8" t="s">
        <v>395</v>
      </c>
      <c r="AM20" s="8" t="s">
        <v>585</v>
      </c>
      <c r="AN20" s="8" t="s">
        <v>39</v>
      </c>
      <c r="AO20" s="8" t="s">
        <v>248</v>
      </c>
      <c r="AP20" s="8" t="s">
        <v>265</v>
      </c>
      <c r="AQ20" s="8" t="s">
        <v>264</v>
      </c>
      <c r="AR20" s="8" t="s">
        <v>243</v>
      </c>
      <c r="AS20" s="8" t="s">
        <v>40</v>
      </c>
      <c r="AT20" s="8" t="s">
        <v>249</v>
      </c>
      <c r="AU20" s="8" t="s">
        <v>267</v>
      </c>
      <c r="AV20" s="8" t="s">
        <v>268</v>
      </c>
      <c r="AW20" s="8" t="s">
        <v>244</v>
      </c>
      <c r="AX20" s="8" t="s">
        <v>43</v>
      </c>
      <c r="AY20" s="8" t="s">
        <v>250</v>
      </c>
      <c r="AZ20" s="8" t="s">
        <v>269</v>
      </c>
      <c r="BA20" s="8" t="s">
        <v>270</v>
      </c>
      <c r="BB20" s="8" t="s">
        <v>245</v>
      </c>
      <c r="BC20" s="8" t="s">
        <v>45</v>
      </c>
      <c r="BD20" s="8" t="s">
        <v>251</v>
      </c>
      <c r="BE20" s="8" t="s">
        <v>271</v>
      </c>
      <c r="BF20" s="8" t="s">
        <v>272</v>
      </c>
      <c r="BG20" s="8" t="s">
        <v>246</v>
      </c>
      <c r="BH20" s="8" t="s">
        <v>479</v>
      </c>
      <c r="BI20" s="8" t="s">
        <v>521</v>
      </c>
      <c r="BJ20" s="8" t="s">
        <v>522</v>
      </c>
      <c r="BK20" s="8" t="s">
        <v>523</v>
      </c>
      <c r="BL20" s="8" t="s">
        <v>524</v>
      </c>
      <c r="BM20" s="8" t="s">
        <v>481</v>
      </c>
      <c r="BN20" s="8" t="s">
        <v>525</v>
      </c>
      <c r="BO20" s="8" t="s">
        <v>526</v>
      </c>
      <c r="BP20" s="8" t="s">
        <v>527</v>
      </c>
      <c r="BQ20" s="8" t="s">
        <v>528</v>
      </c>
      <c r="BR20" s="8" t="s">
        <v>483</v>
      </c>
      <c r="BS20" s="8" t="s">
        <v>529</v>
      </c>
      <c r="BT20" s="8" t="s">
        <v>530</v>
      </c>
      <c r="BU20" s="8" t="s">
        <v>531</v>
      </c>
      <c r="BV20" s="8" t="s">
        <v>532</v>
      </c>
      <c r="BW20" s="8" t="s">
        <v>485</v>
      </c>
      <c r="BX20" s="8" t="s">
        <v>533</v>
      </c>
      <c r="BY20" s="8" t="s">
        <v>534</v>
      </c>
      <c r="BZ20" s="8" t="s">
        <v>535</v>
      </c>
      <c r="CA20" s="8" t="s">
        <v>536</v>
      </c>
      <c r="CB20" s="8" t="s">
        <v>487</v>
      </c>
      <c r="CC20" s="8" t="s">
        <v>537</v>
      </c>
      <c r="CD20" s="8" t="s">
        <v>538</v>
      </c>
      <c r="CE20" s="8" t="s">
        <v>539</v>
      </c>
      <c r="CF20" s="8" t="s">
        <v>540</v>
      </c>
      <c r="CG20" s="8" t="s">
        <v>488</v>
      </c>
      <c r="CH20" s="8" t="s">
        <v>541</v>
      </c>
      <c r="CI20" s="8" t="s">
        <v>542</v>
      </c>
      <c r="CJ20" s="8" t="s">
        <v>543</v>
      </c>
      <c r="CK20" s="8" t="s">
        <v>544</v>
      </c>
      <c r="CL20" s="8" t="s">
        <v>266</v>
      </c>
      <c r="CM20" s="8" t="s">
        <v>252</v>
      </c>
      <c r="CN20" s="8" t="s">
        <v>258</v>
      </c>
      <c r="CO20" s="8" t="s">
        <v>253</v>
      </c>
      <c r="CP20" s="8" t="s">
        <v>259</v>
      </c>
      <c r="CQ20" s="8" t="s">
        <v>254</v>
      </c>
      <c r="CR20" s="8" t="s">
        <v>260</v>
      </c>
      <c r="CS20" s="8" t="s">
        <v>255</v>
      </c>
      <c r="CT20" s="8" t="s">
        <v>261</v>
      </c>
      <c r="CU20" s="8" t="s">
        <v>256</v>
      </c>
      <c r="CV20" s="8" t="s">
        <v>262</v>
      </c>
      <c r="CW20" s="8" t="s">
        <v>467</v>
      </c>
      <c r="CX20" s="8" t="s">
        <v>468</v>
      </c>
      <c r="CY20" s="8" t="s">
        <v>469</v>
      </c>
      <c r="CZ20" s="8" t="s">
        <v>470</v>
      </c>
      <c r="DA20" s="8" t="s">
        <v>471</v>
      </c>
      <c r="DB20" s="8" t="s">
        <v>472</v>
      </c>
      <c r="DC20" s="8" t="s">
        <v>473</v>
      </c>
      <c r="DD20" s="8" t="s">
        <v>474</v>
      </c>
      <c r="DE20" s="8" t="s">
        <v>475</v>
      </c>
      <c r="DF20" s="8" t="s">
        <v>476</v>
      </c>
      <c r="DG20" s="8" t="s">
        <v>519</v>
      </c>
      <c r="DH20" s="8" t="s">
        <v>520</v>
      </c>
      <c r="DJ20" s="8" t="s">
        <v>239</v>
      </c>
      <c r="DK20" s="8" t="s">
        <v>240</v>
      </c>
      <c r="DL20" s="8" t="s">
        <v>241</v>
      </c>
      <c r="DM20" s="8" t="s">
        <v>359</v>
      </c>
      <c r="DN20" s="8" t="s">
        <v>360</v>
      </c>
    </row>
    <row r="21" spans="2:118" ht="21" x14ac:dyDescent="0.65">
      <c r="B21" s="170">
        <f>ROW()</f>
        <v>21</v>
      </c>
      <c r="C21" s="171">
        <f>INDEX(ConsumptionModelInputs[Quantity],MATCH(ConsumptionModel[[#This Row],[Building]],ConsumptionModelInputs[Building],0))</f>
        <v>10</v>
      </c>
      <c r="D21" s="172" t="s">
        <v>55</v>
      </c>
      <c r="E21" s="172" t="s">
        <v>330</v>
      </c>
      <c r="F21" s="189" t="str">
        <f>IF(OR(ISBLANK(ConsumptionModel[[#This Row],[Building]]),ISBLANK(ConsumptionModel[[#This Row],[Resource]]))," - ",INDEX(Consumption[Type],MATCH(ConsumptionModel[[#This Row],[LookupValue]],Consumption[LookupValue],0)))</f>
        <v>Need</v>
      </c>
      <c r="G21" s="189" t="str">
        <f>IF(OR(ISBLANK(ConsumptionModel[[#This Row],[Building]]),ISBLANK(ConsumptionModel[[#This Row],[Resource]]))," - ",ConsumptionModel[[#This Row],[Building]]&amp;" - "&amp;ConsumptionModel[[#This Row],[Resource]])</f>
        <v>Pioneer's Hut - Water</v>
      </c>
      <c r="H21" s="175">
        <f>ConsumptionModel[[#This Row],[Quantity]]*INDEX(Consumption[Consumption/person/h],MATCH(ConsumptionModel[[#This Row],[LookupValue]],Consumption[LookupValue],0))*IFERROR(INDEX(ResidentBuildings[Residents],MATCH(ConsumptionModel[[#This Row],[Building]],ResidentBuildings[Building],0)),0)</f>
        <v>0</v>
      </c>
      <c r="I21" s="175">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21" s="190">
        <f>IF(ConsumptionModel[[#This Row],[Quantity]]=0,"",IF(AND(ConsumptionModel[[#This Row],[Resource Demand]]=0,ConsumptionModel[[#This Row],[Resource Available]]&gt;0),1,MIN(1,IFERROR(ConsumptionModel[[#This Row],[Resource Available]]/ConsumptionModel[[#This Row],[Resource Demand]],0))))</f>
        <v>0</v>
      </c>
      <c r="K21" s="177">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21" s="134" t="s">
        <v>51</v>
      </c>
      <c r="P21" s="47">
        <f>SUMIFS(ResourceAvailable[Amount Produced],ResourceAvailable[Resource],ResourceMonitor[[#This Row],[Resource]])</f>
        <v>3194</v>
      </c>
      <c r="Q21" s="47">
        <f>SUMIFS(ResourceAvailable[Amount Consumed],ResourceAvailable[Resource],ResourceMonitor[[#This Row],[Resource]])</f>
        <v>320</v>
      </c>
      <c r="R21" s="47">
        <f>SUMIFS(ResourceAvailable[Amount Available for Resident Consumption],ResourceAvailable[Resource],ResourceMonitor[[#This Row],[Resource]])</f>
        <v>2874</v>
      </c>
      <c r="S21" s="39">
        <f>MAX(0,ResourceMonitor[[#This Row],[Amount Available for Resident Consumption]]-SUMIFS(ConsumptionModel[Resource Demand],ConsumptionModel[Resource],ResourceMonitor[[#This Row],[Resource]]))</f>
        <v>2874</v>
      </c>
      <c r="T21" s="39">
        <f>MIN(0,ResourceMonitor[[#This Row],[Amount Available for Resident Consumption]]-SUMIFS(ConsumptionModel[Resource Demand],ConsumptionModel[Resource],ResourceMonitor[[#This Row],[Resource]]))</f>
        <v>0</v>
      </c>
      <c r="U21" s="122">
        <f>IFERROR(INDEX(#REF!,MATCH(ResourceMonitor[[#This Row],[Resource]],#REF!,0)),0)</f>
        <v>0</v>
      </c>
      <c r="V21" s="194">
        <f>IFERROR(ResourceMonitor[[#This Row],[Amount Produced]]/ResourceMonitor[[#This Row],[Production Target]],0)</f>
        <v>0</v>
      </c>
      <c r="W21" s="133" t="s">
        <v>242</v>
      </c>
      <c r="X21" s="47">
        <f>IF(ResourceMonitor[[#This Row],[Ignore shipping needs?]]="Yes",0,ROUNDUP(ResourceMonitor[[#This Row],[Production Target]]/INDEX(ShipRequirementCalculator[Cargo capacity/h (return, 50% empty)],MATCH($X$15,ShipRequirementCalculator[Ship],0)),0))</f>
        <v>0</v>
      </c>
      <c r="Y21" s="47">
        <f>IF(ResourceMonitor[[#This Row],[Ignore shipping needs?]]="Yes",0,ROUNDUP(ResourceMonitor[[#This Row],[Production Target]]/INDEX(ShipRequirementCalculator[Cargo capacity/h (return, 50% empty)],MATCH($Y$15,ShipRequirementCalculator[Ship],0)),0))</f>
        <v>0</v>
      </c>
      <c r="Z21" s="47">
        <f>IF(ResourceMonitor[[#This Row],[Ignore shipping needs?]]="Yes",0,ROUNDUP(ResourceMonitor[[#This Row],[Production Target]]/INDEX(ShipRequirementCalculator[Cargo capacity/h (return, 50% empty)],MATCH($Z$15,ShipRequirementCalculator[Ship],0)),0))</f>
        <v>0</v>
      </c>
      <c r="AA21" s="124"/>
      <c r="AD21" s="36">
        <f>ROW()</f>
        <v>21</v>
      </c>
      <c r="AE21" s="73">
        <f>AG16</f>
        <v>3194</v>
      </c>
      <c r="AF21" s="18" t="s">
        <v>51</v>
      </c>
      <c r="AG21" s="18"/>
      <c r="AH21" s="18"/>
      <c r="AI21" s="156">
        <f>IFERROR(IslandModel[[#This Row],[Quantity]]/IslandModel[[#This Row],[Target Quantity]],0)</f>
        <v>0</v>
      </c>
      <c r="AJ21" s="20" t="str">
        <f>IFERROR(INDEX(Production[Resource Produced],MATCH(IslandModel[[#This Row],[Building]],Production[Building],0)),"")</f>
        <v>Land tile</v>
      </c>
      <c r="AK21" s="14">
        <f>IFERROR(IslandModel[[#This Row],[Quantity]]*INDEX(Production[Production in 1h],MATCH(IslandModel[[#This Row],[Building]],Production[Building],0))*IslandModel[[#This Row],[Input Consumption Multiplier]],0)</f>
        <v>3194</v>
      </c>
      <c r="AL21" s="90">
        <f>100%</f>
        <v>1</v>
      </c>
      <c r="AM21"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21" s="35">
        <f>IFERROR(INDEX(Production[Input 1],MATCH(IslandModel[[#This Row],[Building]],Production[Building],0)),"")</f>
        <v>0</v>
      </c>
      <c r="AO21" s="18"/>
      <c r="AP21" s="41">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0</v>
      </c>
      <c r="AQ21"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21" s="41">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21" s="35">
        <f>IFERROR(INDEX(Production[Input 2],MATCH(IslandModel[[#This Row],[Building]],Production[Building],0)),"")</f>
        <v>0</v>
      </c>
      <c r="AT21" s="18"/>
      <c r="AU21" s="41">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0</v>
      </c>
      <c r="AV21"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21"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21" s="35">
        <f>IFERROR(INDEX(Production[Input 3],MATCH(IslandModel[[#This Row],[Building]],Production[Building],0)),"")</f>
        <v>0</v>
      </c>
      <c r="AY21" s="18"/>
      <c r="AZ21" s="41">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0</v>
      </c>
      <c r="BA21"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21"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21" s="35">
        <f>IFERROR(INDEX(Production[Input 4],MATCH(IslandModel[[#This Row],[Building]],Production[Building],0)),"")</f>
        <v>0</v>
      </c>
      <c r="BD21" s="18"/>
      <c r="BE21" s="41">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0</v>
      </c>
      <c r="BF21"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21" s="41">
        <f>IF(OR(IslandModel[[#This Row],[Assume All Inputs Are Available?]]="Yes",IslandModel[[#This Row],[Input 4 Assume Available]]="Yes"),0,IFERROR(MIN(IslandModel[[#This Row],[Input Consumption Multiplier]]*IslandModel[[#This Row],[Input 4 Needed]],IslandModel[[#This Row],[Input 4 Available]],IslandModel[[#This Row],[Input 4 Needed]]),0))</f>
        <v>0</v>
      </c>
      <c r="BH21" s="35">
        <f>IFERROR(INDEX(Production[Input 5],MATCH(IslandModel[[#This Row],[Building]],Production[Building],0)),"")</f>
        <v>0</v>
      </c>
      <c r="BI21" s="18"/>
      <c r="BJ21" s="41">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0</v>
      </c>
      <c r="BK21"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21" s="41">
        <f>IF(OR(IslandModel[[#This Row],[Assume All Inputs Are Available?]]="Yes",IslandModel[[#This Row],[Input 5 Assume Available]]="Yes"),0,IFERROR(MIN(IslandModel[[#This Row],[Input Consumption Multiplier]]*IslandModel[[#This Row],[Input 5 Needed]],IslandModel[[#This Row],[Input 5 Available]],IslandModel[[#This Row],[Input 5 Needed]]),0))</f>
        <v>0</v>
      </c>
      <c r="BM21" s="35">
        <f>IFERROR(INDEX(Production[Input 6],MATCH(IslandModel[[#This Row],[Building]],Production[Building],0)),"")</f>
        <v>0</v>
      </c>
      <c r="BN21" s="18"/>
      <c r="BO21" s="41">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0</v>
      </c>
      <c r="BP21"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21" s="41">
        <f>IF(OR(IslandModel[[#This Row],[Assume All Inputs Are Available?]]="Yes",IslandModel[[#This Row],[Input 6 Assume Available]]="Yes"),0,IFERROR(MIN(IslandModel[[#This Row],[Input Consumption Multiplier]]*IslandModel[[#This Row],[Input 6 Needed]],IslandModel[[#This Row],[Input 6 Available]],IslandModel[[#This Row],[Input 6 Needed]]),0))</f>
        <v>0</v>
      </c>
      <c r="BR21" s="35">
        <f>IFERROR(INDEX(Production[Input 7],MATCH(IslandModel[[#This Row],[Building]],Production[Building],0)),"")</f>
        <v>0</v>
      </c>
      <c r="BS21" s="18"/>
      <c r="BT21" s="41">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0</v>
      </c>
      <c r="BU21"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21" s="41">
        <f>IF(OR(IslandModel[[#This Row],[Assume All Inputs Are Available?]]="Yes",IslandModel[[#This Row],[Input 7 Assume Available]]="Yes"),0,IFERROR(MIN(IslandModel[[#This Row],[Input Consumption Multiplier]]*IslandModel[[#This Row],[Input 7 Needed]],IslandModel[[#This Row],[Input 7 Available]],IslandModel[[#This Row],[Input 7 Needed]]),0))</f>
        <v>0</v>
      </c>
      <c r="BW21" s="35">
        <f>IFERROR(INDEX(Production[Input 8],MATCH(IslandModel[[#This Row],[Building]],Production[Building],0)),"")</f>
        <v>0</v>
      </c>
      <c r="BX21" s="18"/>
      <c r="BY21" s="41">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0</v>
      </c>
      <c r="BZ21"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21" s="41">
        <f>IF(OR(IslandModel[[#This Row],[Assume All Inputs Are Available?]]="Yes",IslandModel[[#This Row],[Input 8 Assume Available]]="Yes"),0,IFERROR(MIN(IslandModel[[#This Row],[Input Consumption Multiplier]]*IslandModel[[#This Row],[Input 8 Needed]],IslandModel[[#This Row],[Input 8 Available]],IslandModel[[#This Row],[Input 8 Needed]]),0))</f>
        <v>0</v>
      </c>
      <c r="CB21" s="35">
        <f>IFERROR(INDEX(Production[Input 9],MATCH(IslandModel[[#This Row],[Building]],Production[Building],0)),"")</f>
        <v>0</v>
      </c>
      <c r="CC21" s="18"/>
      <c r="CD21" s="41">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0</v>
      </c>
      <c r="CE21"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21" s="41">
        <f>IF(OR(IslandModel[[#This Row],[Assume All Inputs Are Available?]]="Yes",IslandModel[[#This Row],[Input 9 Assume Available]]="Yes"),0,IFERROR(MIN(IslandModel[[#This Row],[Input Consumption Multiplier]]*IslandModel[[#This Row],[Input 9 Needed]],IslandModel[[#This Row],[Input 9 Available]],IslandModel[[#This Row],[Input 9 Needed]]),0))</f>
        <v>0</v>
      </c>
      <c r="CG21" s="35">
        <f>IFERROR(INDEX(Production[Input 10],MATCH(IslandModel[[#This Row],[Building]],Production[Building],0)),"")</f>
        <v>0</v>
      </c>
      <c r="CH21" s="18"/>
      <c r="CI21" s="41">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0</v>
      </c>
      <c r="CJ21"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21" s="41">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21" s="48">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21" s="34" t="str">
        <f>IslandModel[[#This Row],[Resource Produced]]</f>
        <v>Land tile</v>
      </c>
      <c r="CN21" s="42">
        <f>IslandModel[[#This Row],[Amount produced/h]]</f>
        <v>3194</v>
      </c>
      <c r="CO21" s="42">
        <f>IslandModel[[#This Row],[Input 1]]</f>
        <v>0</v>
      </c>
      <c r="CP21" s="42">
        <f>-IslandModel[[#This Row],[Input 1 Consumed]]</f>
        <v>0</v>
      </c>
      <c r="CQ21" s="42">
        <f>IslandModel[[#This Row],[Input 2]]</f>
        <v>0</v>
      </c>
      <c r="CR21" s="42">
        <f>-IslandModel[[#This Row],[Input 2 Consumed]]</f>
        <v>0</v>
      </c>
      <c r="CS21" s="42">
        <f>IslandModel[[#This Row],[Input 3]]</f>
        <v>0</v>
      </c>
      <c r="CT21" s="42">
        <f>-IslandModel[[#This Row],[Input 3 Consumed]]</f>
        <v>0</v>
      </c>
      <c r="CU21" s="42">
        <f>IslandModel[[#This Row],[Input 4]]</f>
        <v>0</v>
      </c>
      <c r="CV21" s="42">
        <f>-IslandModel[[#This Row],[Input 4 Consumed]]</f>
        <v>0</v>
      </c>
      <c r="CW21" s="42">
        <f>IslandModel[[#This Row],[Input 5]]</f>
        <v>0</v>
      </c>
      <c r="CX21" s="42">
        <f>-IslandModel[[#This Row],[Input 5 Consumed]]</f>
        <v>0</v>
      </c>
      <c r="CY21" s="42">
        <f>IslandModel[[#This Row],[Input 6]]</f>
        <v>0</v>
      </c>
      <c r="CZ21" s="42">
        <f>-IslandModel[[#This Row],[Input 6 Consumed]]</f>
        <v>0</v>
      </c>
      <c r="DA21" s="42">
        <f>IslandModel[[#This Row],[Input 7]]</f>
        <v>0</v>
      </c>
      <c r="DB21" s="42">
        <f>-IslandModel[[#This Row],[Input 7 Consumed]]</f>
        <v>0</v>
      </c>
      <c r="DC21" s="42">
        <f>IslandModel[[#This Row],[Input 8]]</f>
        <v>0</v>
      </c>
      <c r="DD21" s="42">
        <f>-IslandModel[[#This Row],[Input 8 Consumed]]</f>
        <v>0</v>
      </c>
      <c r="DE21" s="42">
        <f>IslandModel[[#This Row],[Input 9]]</f>
        <v>0</v>
      </c>
      <c r="DF21" s="42">
        <f>-IslandModel[[#This Row],[Input 9 Consumed]]</f>
        <v>0</v>
      </c>
      <c r="DG21" s="42">
        <f>IslandModel[[#This Row],[Input 10]]</f>
        <v>0</v>
      </c>
      <c r="DH21" s="42">
        <f>-IslandModel[[#This Row],[Input 10 Consumed]]</f>
        <v>0</v>
      </c>
      <c r="DJ21" s="55"/>
      <c r="DK21" s="39">
        <f>SUM(SUMIFS(IslandModel[Resource 1 Qty],IslandModel[Resource 1],ResourceAvailable[[#This Row],[Resource]]))</f>
        <v>0</v>
      </c>
      <c r="DL21"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21" s="39">
        <f>ResourceAvailable[[#This Row],[Amount Produced]]-ResourceAvailable[[#This Row],[Amount Consumed]]</f>
        <v>0</v>
      </c>
      <c r="DN21" s="20">
        <f>MAX(0,ResourceAvailable[[#This Row],[Amount Available for Resident Consumption]]-SUMIFS(ConsumptionModel[Resource Demand],ConsumptionModel[Resource],ResourceAvailable[[#This Row],[Resource]]))</f>
        <v>0</v>
      </c>
    </row>
    <row r="22" spans="2:118" ht="21" x14ac:dyDescent="0.65">
      <c r="B22" s="178">
        <f>ROW()</f>
        <v>22</v>
      </c>
      <c r="C22" s="70">
        <f>INDEX(ConsumptionModelInputs[Quantity],MATCH(ConsumptionModel[[#This Row],[Building]],ConsumptionModelInputs[Building],0))</f>
        <v>10</v>
      </c>
      <c r="D22" s="179" t="s">
        <v>55</v>
      </c>
      <c r="E22" s="179" t="s">
        <v>63</v>
      </c>
      <c r="F22" s="191" t="str">
        <f>IF(OR(ISBLANK(ConsumptionModel[[#This Row],[Building]]),ISBLANK(ConsumptionModel[[#This Row],[Resource]]))," - ",INDEX(Consumption[Type],MATCH(ConsumptionModel[[#This Row],[LookupValue]],Consumption[LookupValue],0)))</f>
        <v>Luxury</v>
      </c>
      <c r="G22" s="191" t="str">
        <f>IF(OR(ISBLANK(ConsumptionModel[[#This Row],[Building]]),ISBLANK(ConsumptionModel[[#This Row],[Resource]]))," - ",ConsumptionModel[[#This Row],[Building]]&amp;" - "&amp;ConsumptionModel[[#This Row],[Resource]])</f>
        <v>Pioneer's Hut - Fish</v>
      </c>
      <c r="H22" s="62">
        <f>ConsumptionModel[[#This Row],[Quantity]]*INDEX(Consumption[Consumption/person/h],MATCH(ConsumptionModel[[#This Row],[LookupValue]],Consumption[LookupValue],0))*IFERROR(INDEX(ResidentBuildings[Residents],MATCH(ConsumptionModel[[#This Row],[Building]],ResidentBuildings[Building],0)),0)</f>
        <v>75</v>
      </c>
      <c r="I22"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22" s="57">
        <f>IF(ConsumptionModel[[#This Row],[Quantity]]=0,"",IF(AND(ConsumptionModel[[#This Row],[Resource Demand]]=0,ConsumptionModel[[#This Row],[Resource Available]]&gt;0),1,MIN(1,IFERROR(ConsumptionModel[[#This Row],[Resource Available]]/ConsumptionModel[[#This Row],[Resource Demand]],0))))</f>
        <v>0</v>
      </c>
      <c r="K22"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22" s="134" t="s">
        <v>330</v>
      </c>
      <c r="P22" s="47">
        <f>SUMIFS(ResourceAvailable[Amount Produced],ResourceAvailable[Resource],ResourceMonitor[[#This Row],[Resource]])</f>
        <v>0</v>
      </c>
      <c r="Q22" s="47">
        <f>SUMIFS(ResourceAvailable[Amount Consumed],ResourceAvailable[Resource],ResourceMonitor[[#This Row],[Resource]])</f>
        <v>0</v>
      </c>
      <c r="R22" s="47">
        <f>SUMIFS(ResourceAvailable[Amount Available for Resident Consumption],ResourceAvailable[Resource],ResourceMonitor[[#This Row],[Resource]])</f>
        <v>0</v>
      </c>
      <c r="S22" s="39">
        <f>MAX(0,ResourceMonitor[[#This Row],[Amount Available for Resident Consumption]]-SUMIFS(ConsumptionModel[Resource Demand],ConsumptionModel[Resource],ResourceMonitor[[#This Row],[Resource]]))</f>
        <v>0</v>
      </c>
      <c r="T22" s="39">
        <f>MIN(0,ResourceMonitor[[#This Row],[Amount Available for Resident Consumption]]-SUMIFS(ConsumptionModel[Resource Demand],ConsumptionModel[Resource],ResourceMonitor[[#This Row],[Resource]]))</f>
        <v>0</v>
      </c>
      <c r="U22" s="122">
        <f>IFERROR(INDEX(#REF!,MATCH(ResourceMonitor[[#This Row],[Resource]],#REF!,0)),0)</f>
        <v>0</v>
      </c>
      <c r="V22" s="194">
        <f>IFERROR(ResourceMonitor[[#This Row],[Amount Produced]]/ResourceMonitor[[#This Row],[Production Target]],0)</f>
        <v>0</v>
      </c>
      <c r="W22" s="133" t="s">
        <v>242</v>
      </c>
      <c r="X22" s="47">
        <f>IF(ResourceMonitor[[#This Row],[Ignore shipping needs?]]="Yes",0,ROUNDUP(ResourceMonitor[[#This Row],[Production Target]]/INDEX(ShipRequirementCalculator[Cargo capacity/h (return, 50% empty)],MATCH($X$15,ShipRequirementCalculator[Ship],0)),0))</f>
        <v>0</v>
      </c>
      <c r="Y22" s="47">
        <f>IF(ResourceMonitor[[#This Row],[Ignore shipping needs?]]="Yes",0,ROUNDUP(ResourceMonitor[[#This Row],[Production Target]]/INDEX(ShipRequirementCalculator[Cargo capacity/h (return, 50% empty)],MATCH($Y$15,ShipRequirementCalculator[Ship],0)),0))</f>
        <v>0</v>
      </c>
      <c r="Z22" s="47">
        <f>IF(ResourceMonitor[[#This Row],[Ignore shipping needs?]]="Yes",0,ROUNDUP(ResourceMonitor[[#This Row],[Production Target]]/INDEX(ShipRequirementCalculator[Cargo capacity/h (return, 50% empty)],MATCH($Z$15,ShipRequirementCalculator[Ship],0)),0))</f>
        <v>0</v>
      </c>
      <c r="AA22" s="124"/>
      <c r="AD22" s="36">
        <f>ROW()</f>
        <v>22</v>
      </c>
      <c r="AE22" s="73">
        <f>ROUNDUP(AG16*10%,0)</f>
        <v>320</v>
      </c>
      <c r="AF22" s="18" t="s">
        <v>53</v>
      </c>
      <c r="AG22" s="18"/>
      <c r="AH22" s="18"/>
      <c r="AI22" s="156">
        <f>IFERROR(IslandModel[[#This Row],[Quantity]]/IslandModel[[#This Row],[Target Quantity]],0)</f>
        <v>0</v>
      </c>
      <c r="AJ22" s="20" t="str">
        <f>IFERROR(INDEX(Production[Resource Produced],MATCH(IslandModel[[#This Row],[Building]],Production[Building],0)),"")</f>
        <v>Mountain tile</v>
      </c>
      <c r="AK22" s="14">
        <f>IFERROR(IslandModel[[#This Row],[Quantity]]*INDEX(Production[Production in 1h],MATCH(IslandModel[[#This Row],[Building]],Production[Building],0))*IslandModel[[#This Row],[Input Consumption Multiplier]],0)</f>
        <v>320</v>
      </c>
      <c r="AL22" s="90">
        <f>100%</f>
        <v>1</v>
      </c>
      <c r="AM22"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22" s="35" t="str">
        <f>IFERROR(INDEX(Production[Input 1],MATCH(IslandModel[[#This Row],[Building]],Production[Building],0)),"")</f>
        <v>Land tile</v>
      </c>
      <c r="AO22" s="18"/>
      <c r="AP22" s="41">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320</v>
      </c>
      <c r="AQ22"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3194</v>
      </c>
      <c r="AR22" s="41">
        <f>IF(OR(IslandModel[[#This Row],[Assume All Inputs Are Available?]]="Yes",IslandModel[[#This Row],[Input 1 Assume Available]]="Yes"),0,
IFERROR(MIN(IslandModel[[#This Row],[Input Consumption Multiplier]]*IslandModel[[#This Row],[Input 1 Needed]],IslandModel[[#This Row],[Input 1 Available]],IslandModel[[#This Row],[Input 1 Needed]]),0))</f>
        <v>320</v>
      </c>
      <c r="AS22" s="35">
        <f>IFERROR(INDEX(Production[Input 2],MATCH(IslandModel[[#This Row],[Building]],Production[Building],0)),"")</f>
        <v>0</v>
      </c>
      <c r="AT22" s="18"/>
      <c r="AU22" s="41">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0</v>
      </c>
      <c r="AV22"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22"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22" s="35">
        <f>IFERROR(INDEX(Production[Input 3],MATCH(IslandModel[[#This Row],[Building]],Production[Building],0)),"")</f>
        <v>0</v>
      </c>
      <c r="AY22" s="18"/>
      <c r="AZ22" s="41">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0</v>
      </c>
      <c r="BA22"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22"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22" s="35">
        <f>IFERROR(INDEX(Production[Input 4],MATCH(IslandModel[[#This Row],[Building]],Production[Building],0)),"")</f>
        <v>0</v>
      </c>
      <c r="BD22" s="18"/>
      <c r="BE22" s="41">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0</v>
      </c>
      <c r="BF22"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22" s="41">
        <f>IF(OR(IslandModel[[#This Row],[Assume All Inputs Are Available?]]="Yes",IslandModel[[#This Row],[Input 4 Assume Available]]="Yes"),0,IFERROR(MIN(IslandModel[[#This Row],[Input Consumption Multiplier]]*IslandModel[[#This Row],[Input 4 Needed]],IslandModel[[#This Row],[Input 4 Available]],IslandModel[[#This Row],[Input 4 Needed]]),0))</f>
        <v>0</v>
      </c>
      <c r="BH22" s="35">
        <f>IFERROR(INDEX(Production[Input 5],MATCH(IslandModel[[#This Row],[Building]],Production[Building],0)),"")</f>
        <v>0</v>
      </c>
      <c r="BI22" s="18"/>
      <c r="BJ22" s="41">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0</v>
      </c>
      <c r="BK22"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22" s="41">
        <f>IF(OR(IslandModel[[#This Row],[Assume All Inputs Are Available?]]="Yes",IslandModel[[#This Row],[Input 5 Assume Available]]="Yes"),0,IFERROR(MIN(IslandModel[[#This Row],[Input Consumption Multiplier]]*IslandModel[[#This Row],[Input 5 Needed]],IslandModel[[#This Row],[Input 5 Available]],IslandModel[[#This Row],[Input 5 Needed]]),0))</f>
        <v>0</v>
      </c>
      <c r="BM22" s="35">
        <f>IFERROR(INDEX(Production[Input 6],MATCH(IslandModel[[#This Row],[Building]],Production[Building],0)),"")</f>
        <v>0</v>
      </c>
      <c r="BN22" s="18"/>
      <c r="BO22" s="41">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0</v>
      </c>
      <c r="BP22"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22" s="41">
        <f>IF(OR(IslandModel[[#This Row],[Assume All Inputs Are Available?]]="Yes",IslandModel[[#This Row],[Input 6 Assume Available]]="Yes"),0,IFERROR(MIN(IslandModel[[#This Row],[Input Consumption Multiplier]]*IslandModel[[#This Row],[Input 6 Needed]],IslandModel[[#This Row],[Input 6 Available]],IslandModel[[#This Row],[Input 6 Needed]]),0))</f>
        <v>0</v>
      </c>
      <c r="BR22" s="35">
        <f>IFERROR(INDEX(Production[Input 7],MATCH(IslandModel[[#This Row],[Building]],Production[Building],0)),"")</f>
        <v>0</v>
      </c>
      <c r="BS22" s="18"/>
      <c r="BT22" s="41">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0</v>
      </c>
      <c r="BU22"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22" s="41">
        <f>IF(OR(IslandModel[[#This Row],[Assume All Inputs Are Available?]]="Yes",IslandModel[[#This Row],[Input 7 Assume Available]]="Yes"),0,IFERROR(MIN(IslandModel[[#This Row],[Input Consumption Multiplier]]*IslandModel[[#This Row],[Input 7 Needed]],IslandModel[[#This Row],[Input 7 Available]],IslandModel[[#This Row],[Input 7 Needed]]),0))</f>
        <v>0</v>
      </c>
      <c r="BW22" s="35">
        <f>IFERROR(INDEX(Production[Input 8],MATCH(IslandModel[[#This Row],[Building]],Production[Building],0)),"")</f>
        <v>0</v>
      </c>
      <c r="BX22" s="18"/>
      <c r="BY22" s="41">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0</v>
      </c>
      <c r="BZ22"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22" s="41">
        <f>IF(OR(IslandModel[[#This Row],[Assume All Inputs Are Available?]]="Yes",IslandModel[[#This Row],[Input 8 Assume Available]]="Yes"),0,IFERROR(MIN(IslandModel[[#This Row],[Input Consumption Multiplier]]*IslandModel[[#This Row],[Input 8 Needed]],IslandModel[[#This Row],[Input 8 Available]],IslandModel[[#This Row],[Input 8 Needed]]),0))</f>
        <v>0</v>
      </c>
      <c r="CB22" s="35">
        <f>IFERROR(INDEX(Production[Input 9],MATCH(IslandModel[[#This Row],[Building]],Production[Building],0)),"")</f>
        <v>0</v>
      </c>
      <c r="CC22" s="18"/>
      <c r="CD22" s="41">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0</v>
      </c>
      <c r="CE22"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22" s="41">
        <f>IF(OR(IslandModel[[#This Row],[Assume All Inputs Are Available?]]="Yes",IslandModel[[#This Row],[Input 9 Assume Available]]="Yes"),0,IFERROR(MIN(IslandModel[[#This Row],[Input Consumption Multiplier]]*IslandModel[[#This Row],[Input 9 Needed]],IslandModel[[#This Row],[Input 9 Available]],IslandModel[[#This Row],[Input 9 Needed]]),0))</f>
        <v>0</v>
      </c>
      <c r="CG22" s="35">
        <f>IFERROR(INDEX(Production[Input 10],MATCH(IslandModel[[#This Row],[Building]],Production[Building],0)),"")</f>
        <v>0</v>
      </c>
      <c r="CH22" s="18"/>
      <c r="CI22" s="41">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0</v>
      </c>
      <c r="CJ22"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22" s="41">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22" s="48">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22" s="34" t="str">
        <f>IslandModel[[#This Row],[Resource Produced]]</f>
        <v>Mountain tile</v>
      </c>
      <c r="CN22" s="42">
        <f>IslandModel[[#This Row],[Amount produced/h]]</f>
        <v>320</v>
      </c>
      <c r="CO22" s="42" t="str">
        <f>IslandModel[[#This Row],[Input 1]]</f>
        <v>Land tile</v>
      </c>
      <c r="CP22" s="42">
        <f>-IslandModel[[#This Row],[Input 1 Consumed]]</f>
        <v>-320</v>
      </c>
      <c r="CQ22" s="42">
        <f>IslandModel[[#This Row],[Input 2]]</f>
        <v>0</v>
      </c>
      <c r="CR22" s="42">
        <f>-IslandModel[[#This Row],[Input 2 Consumed]]</f>
        <v>0</v>
      </c>
      <c r="CS22" s="42">
        <f>IslandModel[[#This Row],[Input 3]]</f>
        <v>0</v>
      </c>
      <c r="CT22" s="42">
        <f>-IslandModel[[#This Row],[Input 3 Consumed]]</f>
        <v>0</v>
      </c>
      <c r="CU22" s="42">
        <f>IslandModel[[#This Row],[Input 4]]</f>
        <v>0</v>
      </c>
      <c r="CV22" s="42">
        <f>-IslandModel[[#This Row],[Input 4 Consumed]]</f>
        <v>0</v>
      </c>
      <c r="CW22" s="42">
        <f>IslandModel[[#This Row],[Input 5]]</f>
        <v>0</v>
      </c>
      <c r="CX22" s="42">
        <f>-IslandModel[[#This Row],[Input 5 Consumed]]</f>
        <v>0</v>
      </c>
      <c r="CY22" s="42">
        <f>IslandModel[[#This Row],[Input 6]]</f>
        <v>0</v>
      </c>
      <c r="CZ22" s="42">
        <f>-IslandModel[[#This Row],[Input 6 Consumed]]</f>
        <v>0</v>
      </c>
      <c r="DA22" s="42">
        <f>IslandModel[[#This Row],[Input 7]]</f>
        <v>0</v>
      </c>
      <c r="DB22" s="42">
        <f>-IslandModel[[#This Row],[Input 7 Consumed]]</f>
        <v>0</v>
      </c>
      <c r="DC22" s="42">
        <f>IslandModel[[#This Row],[Input 8]]</f>
        <v>0</v>
      </c>
      <c r="DD22" s="42">
        <f>-IslandModel[[#This Row],[Input 8 Consumed]]</f>
        <v>0</v>
      </c>
      <c r="DE22" s="42">
        <f>IslandModel[[#This Row],[Input 9]]</f>
        <v>0</v>
      </c>
      <c r="DF22" s="42">
        <f>-IslandModel[[#This Row],[Input 9 Consumed]]</f>
        <v>0</v>
      </c>
      <c r="DG22" s="42">
        <f>IslandModel[[#This Row],[Input 10]]</f>
        <v>0</v>
      </c>
      <c r="DH22" s="42">
        <f>-IslandModel[[#This Row],[Input 10 Consumed]]</f>
        <v>0</v>
      </c>
      <c r="DJ22" s="55" t="s">
        <v>10</v>
      </c>
      <c r="DK22" s="39">
        <f>SUM(SUMIFS(IslandModel[Resource 1 Qty],IslandModel[Resource 1],ResourceAvailable[[#This Row],[Resource]]))</f>
        <v>0</v>
      </c>
      <c r="DL22"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22" s="39">
        <f>ResourceAvailable[[#This Row],[Amount Produced]]-ResourceAvailable[[#This Row],[Amount Consumed]]</f>
        <v>0</v>
      </c>
      <c r="DN22" s="20">
        <f>MAX(0,ResourceAvailable[[#This Row],[Amount Available for Resident Consumption]]-SUMIFS(ConsumptionModel[Resource Demand],ConsumptionModel[Resource],ResourceAvailable[[#This Row],[Resource]]))</f>
        <v>0</v>
      </c>
    </row>
    <row r="23" spans="2:118" ht="21.4" thickBot="1" x14ac:dyDescent="0.7">
      <c r="B23" s="181">
        <f>ROW()</f>
        <v>23</v>
      </c>
      <c r="C23" s="182">
        <f>INDEX(ConsumptionModelInputs[Quantity],MATCH(ConsumptionModel[[#This Row],[Building]],ConsumptionModelInputs[Building],0))</f>
        <v>10</v>
      </c>
      <c r="D23" s="183" t="s">
        <v>55</v>
      </c>
      <c r="E23" s="183" t="s">
        <v>66</v>
      </c>
      <c r="F23" s="192" t="str">
        <f>IF(OR(ISBLANK(ConsumptionModel[[#This Row],[Building]]),ISBLANK(ConsumptionModel[[#This Row],[Resource]]))," - ",INDEX(Consumption[Type],MATCH(ConsumptionModel[[#This Row],[LookupValue]],Consumption[LookupValue],0)))</f>
        <v>Luxury</v>
      </c>
      <c r="G23" s="192" t="str">
        <f>IF(OR(ISBLANK(ConsumptionModel[[#This Row],[Building]]),ISBLANK(ConsumptionModel[[#This Row],[Resource]]))," - ",ConsumptionModel[[#This Row],[Building]]&amp;" - "&amp;ConsumptionModel[[#This Row],[Resource]])</f>
        <v>Pioneer's Hut - Schnapps</v>
      </c>
      <c r="H23" s="186">
        <f>ConsumptionModel[[#This Row],[Quantity]]*INDEX(Consumption[Consumption/person/h],MATCH(ConsumptionModel[[#This Row],[LookupValue]],Consumption[LookupValue],0))*IFERROR(INDEX(ResidentBuildings[Residents],MATCH(ConsumptionModel[[#This Row],[Building]],ResidentBuildings[Building],0)),0)</f>
        <v>50</v>
      </c>
      <c r="I23" s="186">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23" s="193">
        <f>IF(ConsumptionModel[[#This Row],[Quantity]]=0,"",IF(AND(ConsumptionModel[[#This Row],[Resource Demand]]=0,ConsumptionModel[[#This Row],[Resource Available]]&gt;0),1,MIN(1,IFERROR(ConsumptionModel[[#This Row],[Resource Available]]/ConsumptionModel[[#This Row],[Resource Demand]],0))))</f>
        <v>0</v>
      </c>
      <c r="K23" s="188">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N23" s="7" t="s">
        <v>831</v>
      </c>
      <c r="O23" s="134" t="s">
        <v>63</v>
      </c>
      <c r="P23" s="47">
        <f>SUMIFS(ResourceAvailable[Amount Produced],ResourceAvailable[Resource],ResourceMonitor[[#This Row],[Resource]])</f>
        <v>0</v>
      </c>
      <c r="Q23" s="47">
        <f>SUMIFS(ResourceAvailable[Amount Consumed],ResourceAvailable[Resource],ResourceMonitor[[#This Row],[Resource]])</f>
        <v>0</v>
      </c>
      <c r="R23" s="47">
        <f>SUMIFS(ResourceAvailable[Amount Available for Resident Consumption],ResourceAvailable[Resource],ResourceMonitor[[#This Row],[Resource]])</f>
        <v>0</v>
      </c>
      <c r="S23" s="39">
        <f>MAX(0,ResourceMonitor[[#This Row],[Amount Available for Resident Consumption]]-SUMIFS(ConsumptionModel[Resource Demand],ConsumptionModel[Resource],ResourceMonitor[[#This Row],[Resource]]))</f>
        <v>0</v>
      </c>
      <c r="T23" s="39">
        <f>MIN(0,ResourceMonitor[[#This Row],[Amount Available for Resident Consumption]]-SUMIFS(ConsumptionModel[Resource Demand],ConsumptionModel[Resource],ResourceMonitor[[#This Row],[Resource]]))</f>
        <v>-1050</v>
      </c>
      <c r="U23" s="122">
        <f>IFERROR(INDEX(#REF!,MATCH(ResourceMonitor[[#This Row],[Resource]],#REF!,0)),0)</f>
        <v>0</v>
      </c>
      <c r="V23" s="194">
        <f>IFERROR(ResourceMonitor[[#This Row],[Amount Produced]]/ResourceMonitor[[#This Row],[Production Target]],0)</f>
        <v>0</v>
      </c>
      <c r="W23" s="133"/>
      <c r="X23" s="47">
        <f>IF(ResourceMonitor[[#This Row],[Ignore shipping needs?]]="Yes",0,ROUNDUP(ResourceMonitor[[#This Row],[Production Target]]/INDEX(ShipRequirementCalculator[Cargo capacity/h (return, 50% empty)],MATCH($X$15,ShipRequirementCalculator[Ship],0)),0))</f>
        <v>0</v>
      </c>
      <c r="Y23" s="47">
        <f>IF(ResourceMonitor[[#This Row],[Ignore shipping needs?]]="Yes",0,ROUNDUP(ResourceMonitor[[#This Row],[Production Target]]/INDEX(ShipRequirementCalculator[Cargo capacity/h (return, 50% empty)],MATCH($Y$15,ShipRequirementCalculator[Ship],0)),0))</f>
        <v>0</v>
      </c>
      <c r="Z23" s="47">
        <f>IF(ResourceMonitor[[#This Row],[Ignore shipping needs?]]="Yes",0,ROUNDUP(ResourceMonitor[[#This Row],[Production Target]]/INDEX(ShipRequirementCalculator[Cargo capacity/h (return, 50% empty)],MATCH($Z$15,ShipRequirementCalculator[Ship],0)),0))</f>
        <v>0</v>
      </c>
      <c r="AA23" s="124"/>
      <c r="AD23" s="36">
        <f>ROW()</f>
        <v>23</v>
      </c>
      <c r="AE23" s="73">
        <f>AG17</f>
        <v>354</v>
      </c>
      <c r="AF23" s="18" t="s">
        <v>52</v>
      </c>
      <c r="AG23" s="18"/>
      <c r="AH23" s="18"/>
      <c r="AI23" s="156">
        <f>IFERROR(IslandModel[[#This Row],[Quantity]]/IslandModel[[#This Row],[Target Quantity]],0)</f>
        <v>0</v>
      </c>
      <c r="AJ23" s="20" t="str">
        <f>IFERROR(INDEX(Production[Resource Produced],MATCH(IslandModel[[#This Row],[Building]],Production[Building],0)),"")</f>
        <v>Water tile</v>
      </c>
      <c r="AK23" s="14">
        <f>IFERROR(IslandModel[[#This Row],[Quantity]]*INDEX(Production[Production in 1h],MATCH(IslandModel[[#This Row],[Building]],Production[Building],0))*IslandModel[[#This Row],[Input Consumption Multiplier]],0)</f>
        <v>354</v>
      </c>
      <c r="AL23" s="90">
        <f>100%</f>
        <v>1</v>
      </c>
      <c r="AM23"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23" s="35">
        <f>IFERROR(INDEX(Production[Input 1],MATCH(IslandModel[[#This Row],[Building]],Production[Building],0)),"")</f>
        <v>0</v>
      </c>
      <c r="AO23" s="18"/>
      <c r="AP23" s="41">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0</v>
      </c>
      <c r="AQ23"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23" s="41">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23" s="35">
        <f>IFERROR(INDEX(Production[Input 2],MATCH(IslandModel[[#This Row],[Building]],Production[Building],0)),"")</f>
        <v>0</v>
      </c>
      <c r="AT23" s="18"/>
      <c r="AU23" s="41">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0</v>
      </c>
      <c r="AV23"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23"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23" s="35">
        <f>IFERROR(INDEX(Production[Input 3],MATCH(IslandModel[[#This Row],[Building]],Production[Building],0)),"")</f>
        <v>0</v>
      </c>
      <c r="AY23" s="18"/>
      <c r="AZ23" s="41">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0</v>
      </c>
      <c r="BA23"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23"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23" s="35">
        <f>IFERROR(INDEX(Production[Input 4],MATCH(IslandModel[[#This Row],[Building]],Production[Building],0)),"")</f>
        <v>0</v>
      </c>
      <c r="BD23" s="18"/>
      <c r="BE23" s="41">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0</v>
      </c>
      <c r="BF23"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23" s="41">
        <f>IF(OR(IslandModel[[#This Row],[Assume All Inputs Are Available?]]="Yes",IslandModel[[#This Row],[Input 4 Assume Available]]="Yes"),0,IFERROR(MIN(IslandModel[[#This Row],[Input Consumption Multiplier]]*IslandModel[[#This Row],[Input 4 Needed]],IslandModel[[#This Row],[Input 4 Available]],IslandModel[[#This Row],[Input 4 Needed]]),0))</f>
        <v>0</v>
      </c>
      <c r="BH23" s="35">
        <f>IFERROR(INDEX(Production[Input 5],MATCH(IslandModel[[#This Row],[Building]],Production[Building],0)),"")</f>
        <v>0</v>
      </c>
      <c r="BI23" s="18"/>
      <c r="BJ23" s="41">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0</v>
      </c>
      <c r="BK23"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23" s="41">
        <f>IF(OR(IslandModel[[#This Row],[Assume All Inputs Are Available?]]="Yes",IslandModel[[#This Row],[Input 5 Assume Available]]="Yes"),0,IFERROR(MIN(IslandModel[[#This Row],[Input Consumption Multiplier]]*IslandModel[[#This Row],[Input 5 Needed]],IslandModel[[#This Row],[Input 5 Available]],IslandModel[[#This Row],[Input 5 Needed]]),0))</f>
        <v>0</v>
      </c>
      <c r="BM23" s="35">
        <f>IFERROR(INDEX(Production[Input 6],MATCH(IslandModel[[#This Row],[Building]],Production[Building],0)),"")</f>
        <v>0</v>
      </c>
      <c r="BN23" s="18"/>
      <c r="BO23" s="41">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0</v>
      </c>
      <c r="BP23"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23" s="41">
        <f>IF(OR(IslandModel[[#This Row],[Assume All Inputs Are Available?]]="Yes",IslandModel[[#This Row],[Input 6 Assume Available]]="Yes"),0,IFERROR(MIN(IslandModel[[#This Row],[Input Consumption Multiplier]]*IslandModel[[#This Row],[Input 6 Needed]],IslandModel[[#This Row],[Input 6 Available]],IslandModel[[#This Row],[Input 6 Needed]]),0))</f>
        <v>0</v>
      </c>
      <c r="BR23" s="35">
        <f>IFERROR(INDEX(Production[Input 7],MATCH(IslandModel[[#This Row],[Building]],Production[Building],0)),"")</f>
        <v>0</v>
      </c>
      <c r="BS23" s="18"/>
      <c r="BT23" s="41">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0</v>
      </c>
      <c r="BU23"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23" s="41">
        <f>IF(OR(IslandModel[[#This Row],[Assume All Inputs Are Available?]]="Yes",IslandModel[[#This Row],[Input 7 Assume Available]]="Yes"),0,IFERROR(MIN(IslandModel[[#This Row],[Input Consumption Multiplier]]*IslandModel[[#This Row],[Input 7 Needed]],IslandModel[[#This Row],[Input 7 Available]],IslandModel[[#This Row],[Input 7 Needed]]),0))</f>
        <v>0</v>
      </c>
      <c r="BW23" s="35">
        <f>IFERROR(INDEX(Production[Input 8],MATCH(IslandModel[[#This Row],[Building]],Production[Building],0)),"")</f>
        <v>0</v>
      </c>
      <c r="BX23" s="18"/>
      <c r="BY23" s="41">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0</v>
      </c>
      <c r="BZ23"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23" s="41">
        <f>IF(OR(IslandModel[[#This Row],[Assume All Inputs Are Available?]]="Yes",IslandModel[[#This Row],[Input 8 Assume Available]]="Yes"),0,IFERROR(MIN(IslandModel[[#This Row],[Input Consumption Multiplier]]*IslandModel[[#This Row],[Input 8 Needed]],IslandModel[[#This Row],[Input 8 Available]],IslandModel[[#This Row],[Input 8 Needed]]),0))</f>
        <v>0</v>
      </c>
      <c r="CB23" s="35">
        <f>IFERROR(INDEX(Production[Input 9],MATCH(IslandModel[[#This Row],[Building]],Production[Building],0)),"")</f>
        <v>0</v>
      </c>
      <c r="CC23" s="18"/>
      <c r="CD23" s="41">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0</v>
      </c>
      <c r="CE23"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23" s="41">
        <f>IF(OR(IslandModel[[#This Row],[Assume All Inputs Are Available?]]="Yes",IslandModel[[#This Row],[Input 9 Assume Available]]="Yes"),0,IFERROR(MIN(IslandModel[[#This Row],[Input Consumption Multiplier]]*IslandModel[[#This Row],[Input 9 Needed]],IslandModel[[#This Row],[Input 9 Available]],IslandModel[[#This Row],[Input 9 Needed]]),0))</f>
        <v>0</v>
      </c>
      <c r="CG23" s="35">
        <f>IFERROR(INDEX(Production[Input 10],MATCH(IslandModel[[#This Row],[Building]],Production[Building],0)),"")</f>
        <v>0</v>
      </c>
      <c r="CH23" s="18"/>
      <c r="CI23" s="41">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0</v>
      </c>
      <c r="CJ23"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23" s="41">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23" s="48">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23" s="34" t="str">
        <f>IslandModel[[#This Row],[Resource Produced]]</f>
        <v>Water tile</v>
      </c>
      <c r="CN23" s="42">
        <f>IslandModel[[#This Row],[Amount produced/h]]</f>
        <v>354</v>
      </c>
      <c r="CO23" s="42">
        <f>IslandModel[[#This Row],[Input 1]]</f>
        <v>0</v>
      </c>
      <c r="CP23" s="42">
        <f>-IslandModel[[#This Row],[Input 1 Consumed]]</f>
        <v>0</v>
      </c>
      <c r="CQ23" s="42">
        <f>IslandModel[[#This Row],[Input 2]]</f>
        <v>0</v>
      </c>
      <c r="CR23" s="42">
        <f>-IslandModel[[#This Row],[Input 2 Consumed]]</f>
        <v>0</v>
      </c>
      <c r="CS23" s="42">
        <f>IslandModel[[#This Row],[Input 3]]</f>
        <v>0</v>
      </c>
      <c r="CT23" s="42">
        <f>-IslandModel[[#This Row],[Input 3 Consumed]]</f>
        <v>0</v>
      </c>
      <c r="CU23" s="42">
        <f>IslandModel[[#This Row],[Input 4]]</f>
        <v>0</v>
      </c>
      <c r="CV23" s="42">
        <f>-IslandModel[[#This Row],[Input 4 Consumed]]</f>
        <v>0</v>
      </c>
      <c r="CW23" s="42">
        <f>IslandModel[[#This Row],[Input 5]]</f>
        <v>0</v>
      </c>
      <c r="CX23" s="42">
        <f>-IslandModel[[#This Row],[Input 5 Consumed]]</f>
        <v>0</v>
      </c>
      <c r="CY23" s="42">
        <f>IslandModel[[#This Row],[Input 6]]</f>
        <v>0</v>
      </c>
      <c r="CZ23" s="42">
        <f>-IslandModel[[#This Row],[Input 6 Consumed]]</f>
        <v>0</v>
      </c>
      <c r="DA23" s="42">
        <f>IslandModel[[#This Row],[Input 7]]</f>
        <v>0</v>
      </c>
      <c r="DB23" s="42">
        <f>-IslandModel[[#This Row],[Input 7 Consumed]]</f>
        <v>0</v>
      </c>
      <c r="DC23" s="42">
        <f>IslandModel[[#This Row],[Input 8]]</f>
        <v>0</v>
      </c>
      <c r="DD23" s="42">
        <f>-IslandModel[[#This Row],[Input 8 Consumed]]</f>
        <v>0</v>
      </c>
      <c r="DE23" s="42">
        <f>IslandModel[[#This Row],[Input 9]]</f>
        <v>0</v>
      </c>
      <c r="DF23" s="42">
        <f>-IslandModel[[#This Row],[Input 9 Consumed]]</f>
        <v>0</v>
      </c>
      <c r="DG23" s="42">
        <f>IslandModel[[#This Row],[Input 10]]</f>
        <v>0</v>
      </c>
      <c r="DH23" s="42">
        <f>-IslandModel[[#This Row],[Input 10 Consumed]]</f>
        <v>0</v>
      </c>
      <c r="DJ23" s="55" t="s">
        <v>386</v>
      </c>
      <c r="DK23" s="39">
        <f>SUM(SUMIFS(IslandModel[Resource 1 Qty],IslandModel[Resource 1],ResourceAvailable[[#This Row],[Resource]]))</f>
        <v>0</v>
      </c>
      <c r="DL23"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23" s="39">
        <f>ResourceAvailable[[#This Row],[Amount Produced]]-ResourceAvailable[[#This Row],[Amount Consumed]]</f>
        <v>0</v>
      </c>
      <c r="DN23" s="20">
        <f>MAX(0,ResourceAvailable[[#This Row],[Amount Available for Resident Consumption]]-SUMIFS(ConsumptionModel[Resource Demand],ConsumptionModel[Resource],ResourceAvailable[[#This Row],[Resource]]))</f>
        <v>0</v>
      </c>
    </row>
    <row r="24" spans="2:118" ht="21" x14ac:dyDescent="0.65">
      <c r="B24" s="170">
        <f>ROW()</f>
        <v>24</v>
      </c>
      <c r="C24" s="171">
        <f>INDEX(ConsumptionModelInputs[Quantity],MATCH(ConsumptionModel[[#This Row],[Building]],ConsumptionModelInputs[Building],0))</f>
        <v>0</v>
      </c>
      <c r="D24" s="172" t="s">
        <v>403</v>
      </c>
      <c r="E24" s="172" t="s">
        <v>330</v>
      </c>
      <c r="F24" s="189" t="str">
        <f>IF(OR(ISBLANK(ConsumptionModel[[#This Row],[Building]]),ISBLANK(ConsumptionModel[[#This Row],[Resource]]))," - ",INDEX(Consumption[Type],MATCH(ConsumptionModel[[#This Row],[LookupValue]],Consumption[LookupValue],0)))</f>
        <v>Need</v>
      </c>
      <c r="G24" s="189" t="str">
        <f>IF(OR(ISBLANK(ConsumptionModel[[#This Row],[Building]]),ISBLANK(ConsumptionModel[[#This Row],[Resource]]))," - ",ConsumptionModel[[#This Row],[Building]]&amp;" - "&amp;ConsumptionModel[[#This Row],[Resource]])</f>
        <v>Pioneer's Hut (only consuming fish) - Water</v>
      </c>
      <c r="H24" s="175">
        <f>ConsumptionModel[[#This Row],[Quantity]]*INDEX(Consumption[Consumption/person/h],MATCH(ConsumptionModel[[#This Row],[LookupValue]],Consumption[LookupValue],0))*IFERROR(INDEX(ResidentBuildings[Residents],MATCH(ConsumptionModel[[#This Row],[Building]],ResidentBuildings[Building],0)),0)</f>
        <v>0</v>
      </c>
      <c r="I24" s="175" t="str">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
      </c>
      <c r="J24" s="190" t="str">
        <f>IF(ConsumptionModel[[#This Row],[Quantity]]=0,"",IF(AND(ConsumptionModel[[#This Row],[Resource Demand]]=0,ConsumptionModel[[#This Row],[Resource Available]]&gt;0),1,MIN(1,IFERROR(ConsumptionModel[[#This Row],[Resource Available]]/ConsumptionModel[[#This Row],[Resource Demand]],0))))</f>
        <v/>
      </c>
      <c r="K24" s="177" t="str">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
      </c>
      <c r="N24" s="7" t="s">
        <v>834</v>
      </c>
      <c r="O24" s="134" t="s">
        <v>66</v>
      </c>
      <c r="P24" s="47">
        <f>SUMIFS(ResourceAvailable[Amount Produced],ResourceAvailable[Resource],ResourceMonitor[[#This Row],[Resource]])</f>
        <v>0</v>
      </c>
      <c r="Q24" s="47">
        <f>SUMIFS(ResourceAvailable[Amount Consumed],ResourceAvailable[Resource],ResourceMonitor[[#This Row],[Resource]])</f>
        <v>0</v>
      </c>
      <c r="R24" s="47">
        <f>SUMIFS(ResourceAvailable[Amount Available for Resident Consumption],ResourceAvailable[Resource],ResourceMonitor[[#This Row],[Resource]])</f>
        <v>0</v>
      </c>
      <c r="S24" s="39">
        <f>MAX(0,ResourceMonitor[[#This Row],[Amount Available for Resident Consumption]]-SUMIFS(ConsumptionModel[Resource Demand],ConsumptionModel[Resource],ResourceMonitor[[#This Row],[Resource]]))</f>
        <v>0</v>
      </c>
      <c r="T24" s="39">
        <f>MIN(0,ResourceMonitor[[#This Row],[Amount Available for Resident Consumption]]-SUMIFS(ConsumptionModel[Resource Demand],ConsumptionModel[Resource],ResourceMonitor[[#This Row],[Resource]]))</f>
        <v>-1000</v>
      </c>
      <c r="U24" s="122">
        <f>IFERROR(INDEX(#REF!,MATCH(ResourceMonitor[[#This Row],[Resource]],#REF!,0)),0)</f>
        <v>0</v>
      </c>
      <c r="V24" s="194">
        <f>IFERROR(ResourceMonitor[[#This Row],[Amount Produced]]/ResourceMonitor[[#This Row],[Production Target]],0)</f>
        <v>0</v>
      </c>
      <c r="W24" s="133"/>
      <c r="X24" s="47">
        <f>IF(ResourceMonitor[[#This Row],[Ignore shipping needs?]]="Yes",0,ROUNDUP(ResourceMonitor[[#This Row],[Production Target]]/INDEX(ShipRequirementCalculator[Cargo capacity/h (return, 50% empty)],MATCH($X$15,ShipRequirementCalculator[Ship],0)),0))</f>
        <v>0</v>
      </c>
      <c r="Y24" s="47">
        <f>IF(ResourceMonitor[[#This Row],[Ignore shipping needs?]]="Yes",0,ROUNDUP(ResourceMonitor[[#This Row],[Production Target]]/INDEX(ShipRequirementCalculator[Cargo capacity/h (return, 50% empty)],MATCH($Y$15,ShipRequirementCalculator[Ship],0)),0))</f>
        <v>0</v>
      </c>
      <c r="Z24" s="47">
        <f>IF(ResourceMonitor[[#This Row],[Ignore shipping needs?]]="Yes",0,ROUNDUP(ResourceMonitor[[#This Row],[Production Target]]/INDEX(ShipRequirementCalculator[Cargo capacity/h (return, 50% empty)],MATCH($Z$15,ShipRequirementCalculator[Ship],0)),0))</f>
        <v>0</v>
      </c>
      <c r="AA24" s="124"/>
      <c r="AD24" s="36">
        <f>ROW()</f>
        <v>24</v>
      </c>
      <c r="AE24" s="74"/>
      <c r="AF24" s="50"/>
      <c r="AG24" s="50"/>
      <c r="AH24" s="74"/>
      <c r="AI24" s="156">
        <f>IFERROR(IslandModel[[#This Row],[Quantity]]/IslandModel[[#This Row],[Target Quantity]],0)</f>
        <v>0</v>
      </c>
      <c r="AJ24" s="20" t="str">
        <f>IFERROR(INDEX(Production[Resource Produced],MATCH(IslandModel[[#This Row],[Building]],Production[Building],0)),"")</f>
        <v/>
      </c>
      <c r="AK24" s="14">
        <f>IFERROR(IslandModel[[#This Row],[Quantity]]*INDEX(Production[Production in 1h],MATCH(IslandModel[[#This Row],[Building]],Production[Building],0))*IslandModel[[#This Row],[Input Consumption Multiplier]],0)</f>
        <v>0</v>
      </c>
      <c r="AL24" s="90">
        <f>100%</f>
        <v>1</v>
      </c>
      <c r="AM24"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24" s="35" t="str">
        <f>IFERROR(INDEX(Production[Input 1],MATCH(IslandModel[[#This Row],[Building]],Production[Building],0)),"")</f>
        <v/>
      </c>
      <c r="AO24" s="18"/>
      <c r="AP24" s="41"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24"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24" s="41">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24" s="35" t="str">
        <f>IFERROR(INDEX(Production[Input 2],MATCH(IslandModel[[#This Row],[Building]],Production[Building],0)),"")</f>
        <v/>
      </c>
      <c r="AT24" s="18"/>
      <c r="AU24"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24"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24"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24" s="35" t="str">
        <f>IFERROR(INDEX(Production[Input 3],MATCH(IslandModel[[#This Row],[Building]],Production[Building],0)),"")</f>
        <v/>
      </c>
      <c r="AY24" s="18"/>
      <c r="AZ24"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24"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24"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24" s="35" t="str">
        <f>IFERROR(INDEX(Production[Input 4],MATCH(IslandModel[[#This Row],[Building]],Production[Building],0)),"")</f>
        <v/>
      </c>
      <c r="BD24" s="18"/>
      <c r="BE24"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24"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24" s="41">
        <f>IF(OR(IslandModel[[#This Row],[Assume All Inputs Are Available?]]="Yes",IslandModel[[#This Row],[Input 4 Assume Available]]="Yes"),0,IFERROR(MIN(IslandModel[[#This Row],[Input Consumption Multiplier]]*IslandModel[[#This Row],[Input 4 Needed]],IslandModel[[#This Row],[Input 4 Available]],IslandModel[[#This Row],[Input 4 Needed]]),0))</f>
        <v>0</v>
      </c>
      <c r="BH24" s="35" t="str">
        <f>IFERROR(INDEX(Production[Input 5],MATCH(IslandModel[[#This Row],[Building]],Production[Building],0)),"")</f>
        <v/>
      </c>
      <c r="BI24" s="18"/>
      <c r="BJ24"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24"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24" s="41">
        <f>IF(OR(IslandModel[[#This Row],[Assume All Inputs Are Available?]]="Yes",IslandModel[[#This Row],[Input 5 Assume Available]]="Yes"),0,IFERROR(MIN(IslandModel[[#This Row],[Input Consumption Multiplier]]*IslandModel[[#This Row],[Input 5 Needed]],IslandModel[[#This Row],[Input 5 Available]],IslandModel[[#This Row],[Input 5 Needed]]),0))</f>
        <v>0</v>
      </c>
      <c r="BM24" s="35" t="str">
        <f>IFERROR(INDEX(Production[Input 6],MATCH(IslandModel[[#This Row],[Building]],Production[Building],0)),"")</f>
        <v/>
      </c>
      <c r="BN24" s="18"/>
      <c r="BO24"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24"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24" s="41">
        <f>IF(OR(IslandModel[[#This Row],[Assume All Inputs Are Available?]]="Yes",IslandModel[[#This Row],[Input 6 Assume Available]]="Yes"),0,IFERROR(MIN(IslandModel[[#This Row],[Input Consumption Multiplier]]*IslandModel[[#This Row],[Input 6 Needed]],IslandModel[[#This Row],[Input 6 Available]],IslandModel[[#This Row],[Input 6 Needed]]),0))</f>
        <v>0</v>
      </c>
      <c r="BR24" s="35" t="str">
        <f>IFERROR(INDEX(Production[Input 7],MATCH(IslandModel[[#This Row],[Building]],Production[Building],0)),"")</f>
        <v/>
      </c>
      <c r="BS24" s="18"/>
      <c r="BT24"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24"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24" s="41">
        <f>IF(OR(IslandModel[[#This Row],[Assume All Inputs Are Available?]]="Yes",IslandModel[[#This Row],[Input 7 Assume Available]]="Yes"),0,IFERROR(MIN(IslandModel[[#This Row],[Input Consumption Multiplier]]*IslandModel[[#This Row],[Input 7 Needed]],IslandModel[[#This Row],[Input 7 Available]],IslandModel[[#This Row],[Input 7 Needed]]),0))</f>
        <v>0</v>
      </c>
      <c r="BW24" s="35" t="str">
        <f>IFERROR(INDEX(Production[Input 8],MATCH(IslandModel[[#This Row],[Building]],Production[Building],0)),"")</f>
        <v/>
      </c>
      <c r="BX24" s="18"/>
      <c r="BY24"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24"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24" s="41">
        <f>IF(OR(IslandModel[[#This Row],[Assume All Inputs Are Available?]]="Yes",IslandModel[[#This Row],[Input 8 Assume Available]]="Yes"),0,IFERROR(MIN(IslandModel[[#This Row],[Input Consumption Multiplier]]*IslandModel[[#This Row],[Input 8 Needed]],IslandModel[[#This Row],[Input 8 Available]],IslandModel[[#This Row],[Input 8 Needed]]),0))</f>
        <v>0</v>
      </c>
      <c r="CB24" s="35" t="str">
        <f>IFERROR(INDEX(Production[Input 9],MATCH(IslandModel[[#This Row],[Building]],Production[Building],0)),"")</f>
        <v/>
      </c>
      <c r="CC24" s="18"/>
      <c r="CD24"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24"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24" s="41">
        <f>IF(OR(IslandModel[[#This Row],[Assume All Inputs Are Available?]]="Yes",IslandModel[[#This Row],[Input 9 Assume Available]]="Yes"),0,IFERROR(MIN(IslandModel[[#This Row],[Input Consumption Multiplier]]*IslandModel[[#This Row],[Input 9 Needed]],IslandModel[[#This Row],[Input 9 Available]],IslandModel[[#This Row],[Input 9 Needed]]),0))</f>
        <v>0</v>
      </c>
      <c r="CG24" s="35" t="str">
        <f>IFERROR(INDEX(Production[Input 10],MATCH(IslandModel[[#This Row],[Building]],Production[Building],0)),"")</f>
        <v/>
      </c>
      <c r="CH24" s="18"/>
      <c r="CI24"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24"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24" s="41">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24" s="48">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24" s="34" t="str">
        <f>IslandModel[[#This Row],[Resource Produced]]</f>
        <v/>
      </c>
      <c r="CN24" s="42">
        <f>IslandModel[[#This Row],[Amount produced/h]]</f>
        <v>0</v>
      </c>
      <c r="CO24" s="42" t="str">
        <f>IslandModel[[#This Row],[Input 1]]</f>
        <v/>
      </c>
      <c r="CP24" s="42">
        <f>-IslandModel[[#This Row],[Input 1 Consumed]]</f>
        <v>0</v>
      </c>
      <c r="CQ24" s="42" t="str">
        <f>IslandModel[[#This Row],[Input 2]]</f>
        <v/>
      </c>
      <c r="CR24" s="42">
        <f>-IslandModel[[#This Row],[Input 2 Consumed]]</f>
        <v>0</v>
      </c>
      <c r="CS24" s="42" t="str">
        <f>IslandModel[[#This Row],[Input 3]]</f>
        <v/>
      </c>
      <c r="CT24" s="42">
        <f>-IslandModel[[#This Row],[Input 3 Consumed]]</f>
        <v>0</v>
      </c>
      <c r="CU24" s="42" t="str">
        <f>IslandModel[[#This Row],[Input 4]]</f>
        <v/>
      </c>
      <c r="CV24" s="42">
        <f>-IslandModel[[#This Row],[Input 4 Consumed]]</f>
        <v>0</v>
      </c>
      <c r="CW24" s="42" t="str">
        <f>IslandModel[[#This Row],[Input 5]]</f>
        <v/>
      </c>
      <c r="CX24" s="42">
        <f>-IslandModel[[#This Row],[Input 5 Consumed]]</f>
        <v>0</v>
      </c>
      <c r="CY24" s="42" t="str">
        <f>IslandModel[[#This Row],[Input 6]]</f>
        <v/>
      </c>
      <c r="CZ24" s="42">
        <f>-IslandModel[[#This Row],[Input 6 Consumed]]</f>
        <v>0</v>
      </c>
      <c r="DA24" s="42" t="str">
        <f>IslandModel[[#This Row],[Input 7]]</f>
        <v/>
      </c>
      <c r="DB24" s="42">
        <f>-IslandModel[[#This Row],[Input 7 Consumed]]</f>
        <v>0</v>
      </c>
      <c r="DC24" s="42" t="str">
        <f>IslandModel[[#This Row],[Input 8]]</f>
        <v/>
      </c>
      <c r="DD24" s="42">
        <f>-IslandModel[[#This Row],[Input 8 Consumed]]</f>
        <v>0</v>
      </c>
      <c r="DE24" s="42" t="str">
        <f>IslandModel[[#This Row],[Input 9]]</f>
        <v/>
      </c>
      <c r="DF24" s="42">
        <f>-IslandModel[[#This Row],[Input 9 Consumed]]</f>
        <v>0</v>
      </c>
      <c r="DG24" s="42" t="str">
        <f>IslandModel[[#This Row],[Input 10]]</f>
        <v/>
      </c>
      <c r="DH24" s="42">
        <f>-IslandModel[[#This Row],[Input 10 Consumed]]</f>
        <v>0</v>
      </c>
      <c r="DJ24" t="s">
        <v>381</v>
      </c>
      <c r="DK24" s="39">
        <f>SUM(SUMIFS(IslandModel[Resource 1 Qty],IslandModel[Resource 1],ResourceAvailable[[#This Row],[Resource]]))</f>
        <v>0</v>
      </c>
      <c r="DL24"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24" s="39">
        <f>ResourceAvailable[[#This Row],[Amount Produced]]-ResourceAvailable[[#This Row],[Amount Consumed]]</f>
        <v>0</v>
      </c>
      <c r="DN24" s="20">
        <f>MAX(0,ResourceAvailable[[#This Row],[Amount Available for Resident Consumption]]-SUMIFS(ConsumptionModel[Resource Demand],ConsumptionModel[Resource],ResourceAvailable[[#This Row],[Resource]]))</f>
        <v>0</v>
      </c>
    </row>
    <row r="25" spans="2:118" ht="21" x14ac:dyDescent="0.65">
      <c r="B25" s="178">
        <f>ROW()</f>
        <v>25</v>
      </c>
      <c r="C25" s="70">
        <f>INDEX(ConsumptionModelInputs[Quantity],MATCH(ConsumptionModel[[#This Row],[Building]],ConsumptionModelInputs[Building],0))</f>
        <v>0</v>
      </c>
      <c r="D25" s="179" t="s">
        <v>403</v>
      </c>
      <c r="E25" s="179" t="s">
        <v>63</v>
      </c>
      <c r="F25" s="191" t="str">
        <f>IF(OR(ISBLANK(ConsumptionModel[[#This Row],[Building]]),ISBLANK(ConsumptionModel[[#This Row],[Resource]]))," - ",INDEX(Consumption[Type],MATCH(ConsumptionModel[[#This Row],[LookupValue]],Consumption[LookupValue],0)))</f>
        <v>Luxury</v>
      </c>
      <c r="G25" s="191" t="str">
        <f>IF(OR(ISBLANK(ConsumptionModel[[#This Row],[Building]]),ISBLANK(ConsumptionModel[[#This Row],[Resource]]))," - ",ConsumptionModel[[#This Row],[Building]]&amp;" - "&amp;ConsumptionModel[[#This Row],[Resource]])</f>
        <v>Pioneer's Hut (only consuming fish) - Fish</v>
      </c>
      <c r="H25" s="62">
        <f>ConsumptionModel[[#This Row],[Quantity]]*INDEX(Consumption[Consumption/person/h],MATCH(ConsumptionModel[[#This Row],[LookupValue]],Consumption[LookupValue],0))*IFERROR(INDEX(ResidentBuildings[Residents],MATCH(ConsumptionModel[[#This Row],[Building]],ResidentBuildings[Building],0)),0)</f>
        <v>0</v>
      </c>
      <c r="I25" s="62" t="str">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
      </c>
      <c r="J25" s="57" t="str">
        <f>IF(ConsumptionModel[[#This Row],[Quantity]]=0,"",IF(AND(ConsumptionModel[[#This Row],[Resource Demand]]=0,ConsumptionModel[[#This Row],[Resource Available]]&gt;0),1,MIN(1,IFERROR(ConsumptionModel[[#This Row],[Resource Available]]/ConsumptionModel[[#This Row],[Resource Demand]],0))))</f>
        <v/>
      </c>
      <c r="K25" s="180" t="str">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
      </c>
      <c r="N25" s="7" t="s">
        <v>838</v>
      </c>
      <c r="O25" s="134" t="s">
        <v>72</v>
      </c>
      <c r="P25" s="47">
        <f>SUMIFS(ResourceAvailable[Amount Produced],ResourceAvailable[Resource],ResourceMonitor[[#This Row],[Resource]])</f>
        <v>0</v>
      </c>
      <c r="Q25" s="47">
        <f>SUMIFS(ResourceAvailable[Amount Consumed],ResourceAvailable[Resource],ResourceMonitor[[#This Row],[Resource]])</f>
        <v>0</v>
      </c>
      <c r="R25" s="47">
        <f>SUMIFS(ResourceAvailable[Amount Available for Resident Consumption],ResourceAvailable[Resource],ResourceMonitor[[#This Row],[Resource]])</f>
        <v>0</v>
      </c>
      <c r="S25" s="39">
        <f>MAX(0,ResourceMonitor[[#This Row],[Amount Available for Resident Consumption]]-SUMIFS(ConsumptionModel[Resource Demand],ConsumptionModel[Resource],ResourceMonitor[[#This Row],[Resource]]))</f>
        <v>0</v>
      </c>
      <c r="T25" s="39">
        <f>MIN(0,ResourceMonitor[[#This Row],[Amount Available for Resident Consumption]]-SUMIFS(ConsumptionModel[Resource Demand],ConsumptionModel[Resource],ResourceMonitor[[#This Row],[Resource]]))</f>
        <v>-135</v>
      </c>
      <c r="U25" s="122">
        <f>IFERROR(INDEX(#REF!,MATCH(ResourceMonitor[[#This Row],[Resource]],#REF!,0)),0)</f>
        <v>0</v>
      </c>
      <c r="V25" s="194">
        <f>IFERROR(ResourceMonitor[[#This Row],[Amount Produced]]/ResourceMonitor[[#This Row],[Production Target]],0)</f>
        <v>0</v>
      </c>
      <c r="W25" s="133"/>
      <c r="X25" s="47">
        <f>IF(ResourceMonitor[[#This Row],[Ignore shipping needs?]]="Yes",0,ROUNDUP(ResourceMonitor[[#This Row],[Production Target]]/INDEX(ShipRequirementCalculator[Cargo capacity/h (return, 50% empty)],MATCH($X$15,ShipRequirementCalculator[Ship],0)),0))</f>
        <v>0</v>
      </c>
      <c r="Y25" s="47">
        <f>IF(ResourceMonitor[[#This Row],[Ignore shipping needs?]]="Yes",0,ROUNDUP(ResourceMonitor[[#This Row],[Production Target]]/INDEX(ShipRequirementCalculator[Cargo capacity/h (return, 50% empty)],MATCH($Y$15,ShipRequirementCalculator[Ship],0)),0))</f>
        <v>0</v>
      </c>
      <c r="Z25" s="47">
        <f>IF(ResourceMonitor[[#This Row],[Ignore shipping needs?]]="Yes",0,ROUNDUP(ResourceMonitor[[#This Row],[Production Target]]/INDEX(ShipRequirementCalculator[Cargo capacity/h (return, 50% empty)],MATCH($Z$15,ShipRequirementCalculator[Ship],0)),0))</f>
        <v>0</v>
      </c>
      <c r="AA25" s="124"/>
      <c r="AD25" s="36">
        <f>ROW()</f>
        <v>25</v>
      </c>
      <c r="AE25" s="74"/>
      <c r="AF25" s="50"/>
      <c r="AG25" s="50"/>
      <c r="AH25" s="74"/>
      <c r="AI25" s="156">
        <f>IFERROR(IslandModel[[#This Row],[Quantity]]/IslandModel[[#This Row],[Target Quantity]],0)</f>
        <v>0</v>
      </c>
      <c r="AJ25" s="20" t="str">
        <f>IFERROR(INDEX(Production[Resource Produced],MATCH(IslandModel[[#This Row],[Building]],Production[Building],0)),"")</f>
        <v/>
      </c>
      <c r="AK25" s="14">
        <f>IFERROR(IslandModel[[#This Row],[Quantity]]*INDEX(Production[Production in 1h],MATCH(IslandModel[[#This Row],[Building]],Production[Building],0))*IslandModel[[#This Row],[Input Consumption Multiplier]],0)</f>
        <v>0</v>
      </c>
      <c r="AL25" s="90">
        <f>100%</f>
        <v>1</v>
      </c>
      <c r="AM25"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25" s="35" t="str">
        <f>IFERROR(INDEX(Production[Input 1],MATCH(IslandModel[[#This Row],[Building]],Production[Building],0)),"")</f>
        <v/>
      </c>
      <c r="AO25" s="18"/>
      <c r="AP25" s="41"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25"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25" s="41">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25" s="35" t="str">
        <f>IFERROR(INDEX(Production[Input 2],MATCH(IslandModel[[#This Row],[Building]],Production[Building],0)),"")</f>
        <v/>
      </c>
      <c r="AT25" s="18"/>
      <c r="AU25"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25"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25"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25" s="35" t="str">
        <f>IFERROR(INDEX(Production[Input 3],MATCH(IslandModel[[#This Row],[Building]],Production[Building],0)),"")</f>
        <v/>
      </c>
      <c r="AY25" s="18"/>
      <c r="AZ25"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25"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25"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25" s="35" t="str">
        <f>IFERROR(INDEX(Production[Input 4],MATCH(IslandModel[[#This Row],[Building]],Production[Building],0)),"")</f>
        <v/>
      </c>
      <c r="BD25" s="18"/>
      <c r="BE25"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25"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25" s="41">
        <f>IF(OR(IslandModel[[#This Row],[Assume All Inputs Are Available?]]="Yes",IslandModel[[#This Row],[Input 4 Assume Available]]="Yes"),0,IFERROR(MIN(IslandModel[[#This Row],[Input Consumption Multiplier]]*IslandModel[[#This Row],[Input 4 Needed]],IslandModel[[#This Row],[Input 4 Available]],IslandModel[[#This Row],[Input 4 Needed]]),0))</f>
        <v>0</v>
      </c>
      <c r="BH25" s="35" t="str">
        <f>IFERROR(INDEX(Production[Input 5],MATCH(IslandModel[[#This Row],[Building]],Production[Building],0)),"")</f>
        <v/>
      </c>
      <c r="BI25" s="18"/>
      <c r="BJ25"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25"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25" s="41">
        <f>IF(OR(IslandModel[[#This Row],[Assume All Inputs Are Available?]]="Yes",IslandModel[[#This Row],[Input 5 Assume Available]]="Yes"),0,IFERROR(MIN(IslandModel[[#This Row],[Input Consumption Multiplier]]*IslandModel[[#This Row],[Input 5 Needed]],IslandModel[[#This Row],[Input 5 Available]],IslandModel[[#This Row],[Input 5 Needed]]),0))</f>
        <v>0</v>
      </c>
      <c r="BM25" s="35" t="str">
        <f>IFERROR(INDEX(Production[Input 6],MATCH(IslandModel[[#This Row],[Building]],Production[Building],0)),"")</f>
        <v/>
      </c>
      <c r="BN25" s="18"/>
      <c r="BO25"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25"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25" s="41">
        <f>IF(OR(IslandModel[[#This Row],[Assume All Inputs Are Available?]]="Yes",IslandModel[[#This Row],[Input 6 Assume Available]]="Yes"),0,IFERROR(MIN(IslandModel[[#This Row],[Input Consumption Multiplier]]*IslandModel[[#This Row],[Input 6 Needed]],IslandModel[[#This Row],[Input 6 Available]],IslandModel[[#This Row],[Input 6 Needed]]),0))</f>
        <v>0</v>
      </c>
      <c r="BR25" s="35" t="str">
        <f>IFERROR(INDEX(Production[Input 7],MATCH(IslandModel[[#This Row],[Building]],Production[Building],0)),"")</f>
        <v/>
      </c>
      <c r="BS25" s="18"/>
      <c r="BT25"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25"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25" s="41">
        <f>IF(OR(IslandModel[[#This Row],[Assume All Inputs Are Available?]]="Yes",IslandModel[[#This Row],[Input 7 Assume Available]]="Yes"),0,IFERROR(MIN(IslandModel[[#This Row],[Input Consumption Multiplier]]*IslandModel[[#This Row],[Input 7 Needed]],IslandModel[[#This Row],[Input 7 Available]],IslandModel[[#This Row],[Input 7 Needed]]),0))</f>
        <v>0</v>
      </c>
      <c r="BW25" s="35" t="str">
        <f>IFERROR(INDEX(Production[Input 8],MATCH(IslandModel[[#This Row],[Building]],Production[Building],0)),"")</f>
        <v/>
      </c>
      <c r="BX25" s="18"/>
      <c r="BY25"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25"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25" s="41">
        <f>IF(OR(IslandModel[[#This Row],[Assume All Inputs Are Available?]]="Yes",IslandModel[[#This Row],[Input 8 Assume Available]]="Yes"),0,IFERROR(MIN(IslandModel[[#This Row],[Input Consumption Multiplier]]*IslandModel[[#This Row],[Input 8 Needed]],IslandModel[[#This Row],[Input 8 Available]],IslandModel[[#This Row],[Input 8 Needed]]),0))</f>
        <v>0</v>
      </c>
      <c r="CB25" s="35" t="str">
        <f>IFERROR(INDEX(Production[Input 9],MATCH(IslandModel[[#This Row],[Building]],Production[Building],0)),"")</f>
        <v/>
      </c>
      <c r="CC25" s="18"/>
      <c r="CD25"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25"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25" s="41">
        <f>IF(OR(IslandModel[[#This Row],[Assume All Inputs Are Available?]]="Yes",IslandModel[[#This Row],[Input 9 Assume Available]]="Yes"),0,IFERROR(MIN(IslandModel[[#This Row],[Input Consumption Multiplier]]*IslandModel[[#This Row],[Input 9 Needed]],IslandModel[[#This Row],[Input 9 Available]],IslandModel[[#This Row],[Input 9 Needed]]),0))</f>
        <v>0</v>
      </c>
      <c r="CG25" s="35" t="str">
        <f>IFERROR(INDEX(Production[Input 10],MATCH(IslandModel[[#This Row],[Building]],Production[Building],0)),"")</f>
        <v/>
      </c>
      <c r="CH25" s="18"/>
      <c r="CI25"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25"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25" s="41">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25" s="48">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25" s="34" t="str">
        <f>IslandModel[[#This Row],[Resource Produced]]</f>
        <v/>
      </c>
      <c r="CN25" s="42">
        <f>IslandModel[[#This Row],[Amount produced/h]]</f>
        <v>0</v>
      </c>
      <c r="CO25" s="42" t="str">
        <f>IslandModel[[#This Row],[Input 1]]</f>
        <v/>
      </c>
      <c r="CP25" s="42">
        <f>-IslandModel[[#This Row],[Input 1 Consumed]]</f>
        <v>0</v>
      </c>
      <c r="CQ25" s="42" t="str">
        <f>IslandModel[[#This Row],[Input 2]]</f>
        <v/>
      </c>
      <c r="CR25" s="42">
        <f>-IslandModel[[#This Row],[Input 2 Consumed]]</f>
        <v>0</v>
      </c>
      <c r="CS25" s="42" t="str">
        <f>IslandModel[[#This Row],[Input 3]]</f>
        <v/>
      </c>
      <c r="CT25" s="42">
        <f>-IslandModel[[#This Row],[Input 3 Consumed]]</f>
        <v>0</v>
      </c>
      <c r="CU25" s="42" t="str">
        <f>IslandModel[[#This Row],[Input 4]]</f>
        <v/>
      </c>
      <c r="CV25" s="42">
        <f>-IslandModel[[#This Row],[Input 4 Consumed]]</f>
        <v>0</v>
      </c>
      <c r="CW25" s="42" t="str">
        <f>IslandModel[[#This Row],[Input 5]]</f>
        <v/>
      </c>
      <c r="CX25" s="42">
        <f>-IslandModel[[#This Row],[Input 5 Consumed]]</f>
        <v>0</v>
      </c>
      <c r="CY25" s="42" t="str">
        <f>IslandModel[[#This Row],[Input 6]]</f>
        <v/>
      </c>
      <c r="CZ25" s="42">
        <f>-IslandModel[[#This Row],[Input 6 Consumed]]</f>
        <v>0</v>
      </c>
      <c r="DA25" s="42" t="str">
        <f>IslandModel[[#This Row],[Input 7]]</f>
        <v/>
      </c>
      <c r="DB25" s="42">
        <f>-IslandModel[[#This Row],[Input 7 Consumed]]</f>
        <v>0</v>
      </c>
      <c r="DC25" s="42" t="str">
        <f>IslandModel[[#This Row],[Input 8]]</f>
        <v/>
      </c>
      <c r="DD25" s="42">
        <f>-IslandModel[[#This Row],[Input 8 Consumed]]</f>
        <v>0</v>
      </c>
      <c r="DE25" s="42" t="str">
        <f>IslandModel[[#This Row],[Input 9]]</f>
        <v/>
      </c>
      <c r="DF25" s="42">
        <f>-IslandModel[[#This Row],[Input 9 Consumed]]</f>
        <v>0</v>
      </c>
      <c r="DG25" s="42" t="str">
        <f>IslandModel[[#This Row],[Input 10]]</f>
        <v/>
      </c>
      <c r="DH25" s="42">
        <f>-IslandModel[[#This Row],[Input 10 Consumed]]</f>
        <v>0</v>
      </c>
      <c r="DJ25" t="s">
        <v>146</v>
      </c>
      <c r="DK25" s="39">
        <f>SUM(SUMIFS(IslandModel[Resource 1 Qty],IslandModel[Resource 1],ResourceAvailable[[#This Row],[Resource]]))</f>
        <v>0</v>
      </c>
      <c r="DL25"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25" s="39">
        <f>ResourceAvailable[[#This Row],[Amount Produced]]-ResourceAvailable[[#This Row],[Amount Consumed]]</f>
        <v>0</v>
      </c>
      <c r="DN25" s="20">
        <f>MAX(0,ResourceAvailable[[#This Row],[Amount Available for Resident Consumption]]-SUMIFS(ConsumptionModel[Resource Demand],ConsumptionModel[Resource],ResourceAvailable[[#This Row],[Resource]]))</f>
        <v>0</v>
      </c>
    </row>
    <row r="26" spans="2:118" ht="21.4" thickBot="1" x14ac:dyDescent="0.7">
      <c r="B26" s="181">
        <f>ROW()</f>
        <v>26</v>
      </c>
      <c r="C26" s="182">
        <f>INDEX(ConsumptionModelInputs[Quantity],MATCH(ConsumptionModel[[#This Row],[Building]],ConsumptionModelInputs[Building],0))</f>
        <v>0</v>
      </c>
      <c r="D26" s="183" t="s">
        <v>403</v>
      </c>
      <c r="E26" s="183" t="s">
        <v>66</v>
      </c>
      <c r="F26" s="192" t="str">
        <f>IF(OR(ISBLANK(ConsumptionModel[[#This Row],[Building]]),ISBLANK(ConsumptionModel[[#This Row],[Resource]]))," - ",INDEX(Consumption[Type],MATCH(ConsumptionModel[[#This Row],[LookupValue]],Consumption[LookupValue],0)))</f>
        <v>Luxury</v>
      </c>
      <c r="G26" s="185" t="str">
        <f>IF(OR(ISBLANK(ConsumptionModel[[#This Row],[Building]]),ISBLANK(ConsumptionModel[[#This Row],[Resource]]))," - ",ConsumptionModel[[#This Row],[Building]]&amp;" - "&amp;ConsumptionModel[[#This Row],[Resource]])</f>
        <v>Pioneer's Hut (only consuming fish) - Schnapps</v>
      </c>
      <c r="H26" s="186">
        <f>ConsumptionModel[[#This Row],[Quantity]]*INDEX(Consumption[Consumption/person/h],MATCH(ConsumptionModel[[#This Row],[LookupValue]],Consumption[LookupValue],0))*IFERROR(INDEX(ResidentBuildings[Residents],MATCH(ConsumptionModel[[#This Row],[Building]],ResidentBuildings[Building],0)),0)</f>
        <v>0</v>
      </c>
      <c r="I26" s="186" t="str">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
      </c>
      <c r="J26" s="193" t="str">
        <f>IF(ConsumptionModel[[#This Row],[Quantity]]=0,"",IF(AND(ConsumptionModel[[#This Row],[Resource Demand]]=0,ConsumptionModel[[#This Row],[Resource Available]]&gt;0),1,MIN(1,IFERROR(ConsumptionModel[[#This Row],[Resource Available]]/ConsumptionModel[[#This Row],[Resource Demand]],0))))</f>
        <v/>
      </c>
      <c r="K26" s="188" t="str">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
      </c>
      <c r="O26" s="134" t="s">
        <v>331</v>
      </c>
      <c r="P26" s="47">
        <f>SUMIFS(ResourceAvailable[Amount Produced],ResourceAvailable[Resource],ResourceMonitor[[#This Row],[Resource]])</f>
        <v>0</v>
      </c>
      <c r="Q26" s="47">
        <f>SUMIFS(ResourceAvailable[Amount Consumed],ResourceAvailable[Resource],ResourceMonitor[[#This Row],[Resource]])</f>
        <v>0</v>
      </c>
      <c r="R26" s="47">
        <f>SUMIFS(ResourceAvailable[Amount Available for Resident Consumption],ResourceAvailable[Resource],ResourceMonitor[[#This Row],[Resource]])</f>
        <v>0</v>
      </c>
      <c r="S26" s="39">
        <f>MAX(0,ResourceMonitor[[#This Row],[Amount Available for Resident Consumption]]-SUMIFS(ConsumptionModel[Resource Demand],ConsumptionModel[Resource],ResourceMonitor[[#This Row],[Resource]]))</f>
        <v>0</v>
      </c>
      <c r="T26" s="39">
        <f>MIN(0,ResourceMonitor[[#This Row],[Amount Available for Resident Consumption]]-SUMIFS(ConsumptionModel[Resource Demand],ConsumptionModel[Resource],ResourceMonitor[[#This Row],[Resource]]))</f>
        <v>0</v>
      </c>
      <c r="U26" s="122">
        <f>IFERROR(INDEX(#REF!,MATCH(ResourceMonitor[[#This Row],[Resource]],#REF!,0)),0)</f>
        <v>0</v>
      </c>
      <c r="V26" s="194">
        <f>IFERROR(ResourceMonitor[[#This Row],[Amount Produced]]/ResourceMonitor[[#This Row],[Production Target]],0)</f>
        <v>0</v>
      </c>
      <c r="W26" s="133" t="s">
        <v>242</v>
      </c>
      <c r="X26" s="47">
        <f>IF(ResourceMonitor[[#This Row],[Ignore shipping needs?]]="Yes",0,ROUNDUP(ResourceMonitor[[#This Row],[Production Target]]/INDEX(ShipRequirementCalculator[Cargo capacity/h (return, 50% empty)],MATCH($X$15,ShipRequirementCalculator[Ship],0)),0))</f>
        <v>0</v>
      </c>
      <c r="Y26" s="47">
        <f>IF(ResourceMonitor[[#This Row],[Ignore shipping needs?]]="Yes",0,ROUNDUP(ResourceMonitor[[#This Row],[Production Target]]/INDEX(ShipRequirementCalculator[Cargo capacity/h (return, 50% empty)],MATCH($Y$15,ShipRequirementCalculator[Ship],0)),0))</f>
        <v>0</v>
      </c>
      <c r="Z26" s="47">
        <f>IF(ResourceMonitor[[#This Row],[Ignore shipping needs?]]="Yes",0,ROUNDUP(ResourceMonitor[[#This Row],[Production Target]]/INDEX(ShipRequirementCalculator[Cargo capacity/h (return, 50% empty)],MATCH($Z$15,ShipRequirementCalculator[Ship],0)),0))</f>
        <v>0</v>
      </c>
      <c r="AA26" s="124"/>
      <c r="AD26" s="36">
        <f>ROW()</f>
        <v>26</v>
      </c>
      <c r="AE26" s="74"/>
      <c r="AF26" s="50"/>
      <c r="AG26" s="50"/>
      <c r="AH26" s="74"/>
      <c r="AI26" s="156">
        <f>IFERROR(IslandModel[[#This Row],[Quantity]]/IslandModel[[#This Row],[Target Quantity]],0)</f>
        <v>0</v>
      </c>
      <c r="AJ26" s="20" t="str">
        <f>IFERROR(INDEX(Production[Resource Produced],MATCH(IslandModel[[#This Row],[Building]],Production[Building],0)),"")</f>
        <v/>
      </c>
      <c r="AK26" s="14">
        <f>IFERROR(IslandModel[[#This Row],[Quantity]]*INDEX(Production[Production in 1h],MATCH(IslandModel[[#This Row],[Building]],Production[Building],0))*IslandModel[[#This Row],[Input Consumption Multiplier]],0)</f>
        <v>0</v>
      </c>
      <c r="AL26" s="90">
        <f>100%</f>
        <v>1</v>
      </c>
      <c r="AM26"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26" s="35" t="str">
        <f>IFERROR(INDEX(Production[Input 1],MATCH(IslandModel[[#This Row],[Building]],Production[Building],0)),"")</f>
        <v/>
      </c>
      <c r="AO26" s="18"/>
      <c r="AP26" s="41"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26"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26" s="41">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26" s="35" t="str">
        <f>IFERROR(INDEX(Production[Input 2],MATCH(IslandModel[[#This Row],[Building]],Production[Building],0)),"")</f>
        <v/>
      </c>
      <c r="AT26" s="18"/>
      <c r="AU26"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26"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26"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26" s="35" t="str">
        <f>IFERROR(INDEX(Production[Input 3],MATCH(IslandModel[[#This Row],[Building]],Production[Building],0)),"")</f>
        <v/>
      </c>
      <c r="AY26" s="18"/>
      <c r="AZ26"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26"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26"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26" s="35" t="str">
        <f>IFERROR(INDEX(Production[Input 4],MATCH(IslandModel[[#This Row],[Building]],Production[Building],0)),"")</f>
        <v/>
      </c>
      <c r="BD26" s="18"/>
      <c r="BE26"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26"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26" s="41">
        <f>IF(OR(IslandModel[[#This Row],[Assume All Inputs Are Available?]]="Yes",IslandModel[[#This Row],[Input 4 Assume Available]]="Yes"),0,IFERROR(MIN(IslandModel[[#This Row],[Input Consumption Multiplier]]*IslandModel[[#This Row],[Input 4 Needed]],IslandModel[[#This Row],[Input 4 Available]],IslandModel[[#This Row],[Input 4 Needed]]),0))</f>
        <v>0</v>
      </c>
      <c r="BH26" s="35" t="str">
        <f>IFERROR(INDEX(Production[Input 5],MATCH(IslandModel[[#This Row],[Building]],Production[Building],0)),"")</f>
        <v/>
      </c>
      <c r="BI26" s="18"/>
      <c r="BJ26"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26"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26" s="41">
        <f>IF(OR(IslandModel[[#This Row],[Assume All Inputs Are Available?]]="Yes",IslandModel[[#This Row],[Input 5 Assume Available]]="Yes"),0,IFERROR(MIN(IslandModel[[#This Row],[Input Consumption Multiplier]]*IslandModel[[#This Row],[Input 5 Needed]],IslandModel[[#This Row],[Input 5 Available]],IslandModel[[#This Row],[Input 5 Needed]]),0))</f>
        <v>0</v>
      </c>
      <c r="BM26" s="35" t="str">
        <f>IFERROR(INDEX(Production[Input 6],MATCH(IslandModel[[#This Row],[Building]],Production[Building],0)),"")</f>
        <v/>
      </c>
      <c r="BN26" s="18"/>
      <c r="BO26"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26"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26" s="41">
        <f>IF(OR(IslandModel[[#This Row],[Assume All Inputs Are Available?]]="Yes",IslandModel[[#This Row],[Input 6 Assume Available]]="Yes"),0,IFERROR(MIN(IslandModel[[#This Row],[Input Consumption Multiplier]]*IslandModel[[#This Row],[Input 6 Needed]],IslandModel[[#This Row],[Input 6 Available]],IslandModel[[#This Row],[Input 6 Needed]]),0))</f>
        <v>0</v>
      </c>
      <c r="BR26" s="35" t="str">
        <f>IFERROR(INDEX(Production[Input 7],MATCH(IslandModel[[#This Row],[Building]],Production[Building],0)),"")</f>
        <v/>
      </c>
      <c r="BS26" s="18"/>
      <c r="BT26"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26"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26" s="41">
        <f>IF(OR(IslandModel[[#This Row],[Assume All Inputs Are Available?]]="Yes",IslandModel[[#This Row],[Input 7 Assume Available]]="Yes"),0,IFERROR(MIN(IslandModel[[#This Row],[Input Consumption Multiplier]]*IslandModel[[#This Row],[Input 7 Needed]],IslandModel[[#This Row],[Input 7 Available]],IslandModel[[#This Row],[Input 7 Needed]]),0))</f>
        <v>0</v>
      </c>
      <c r="BW26" s="35" t="str">
        <f>IFERROR(INDEX(Production[Input 8],MATCH(IslandModel[[#This Row],[Building]],Production[Building],0)),"")</f>
        <v/>
      </c>
      <c r="BX26" s="18"/>
      <c r="BY26"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26"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26" s="41">
        <f>IF(OR(IslandModel[[#This Row],[Assume All Inputs Are Available?]]="Yes",IslandModel[[#This Row],[Input 8 Assume Available]]="Yes"),0,IFERROR(MIN(IslandModel[[#This Row],[Input Consumption Multiplier]]*IslandModel[[#This Row],[Input 8 Needed]],IslandModel[[#This Row],[Input 8 Available]],IslandModel[[#This Row],[Input 8 Needed]]),0))</f>
        <v>0</v>
      </c>
      <c r="CB26" s="35" t="str">
        <f>IFERROR(INDEX(Production[Input 9],MATCH(IslandModel[[#This Row],[Building]],Production[Building],0)),"")</f>
        <v/>
      </c>
      <c r="CC26" s="18"/>
      <c r="CD26"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26"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26" s="41">
        <f>IF(OR(IslandModel[[#This Row],[Assume All Inputs Are Available?]]="Yes",IslandModel[[#This Row],[Input 9 Assume Available]]="Yes"),0,IFERROR(MIN(IslandModel[[#This Row],[Input Consumption Multiplier]]*IslandModel[[#This Row],[Input 9 Needed]],IslandModel[[#This Row],[Input 9 Available]],IslandModel[[#This Row],[Input 9 Needed]]),0))</f>
        <v>0</v>
      </c>
      <c r="CG26" s="35" t="str">
        <f>IFERROR(INDEX(Production[Input 10],MATCH(IslandModel[[#This Row],[Building]],Production[Building],0)),"")</f>
        <v/>
      </c>
      <c r="CH26" s="18"/>
      <c r="CI26"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26"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26" s="41">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26" s="48">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26" s="34" t="str">
        <f>IslandModel[[#This Row],[Resource Produced]]</f>
        <v/>
      </c>
      <c r="CN26" s="42">
        <f>IslandModel[[#This Row],[Amount produced/h]]</f>
        <v>0</v>
      </c>
      <c r="CO26" s="42" t="str">
        <f>IslandModel[[#This Row],[Input 1]]</f>
        <v/>
      </c>
      <c r="CP26" s="42">
        <f>-IslandModel[[#This Row],[Input 1 Consumed]]</f>
        <v>0</v>
      </c>
      <c r="CQ26" s="42" t="str">
        <f>IslandModel[[#This Row],[Input 2]]</f>
        <v/>
      </c>
      <c r="CR26" s="42">
        <f>-IslandModel[[#This Row],[Input 2 Consumed]]</f>
        <v>0</v>
      </c>
      <c r="CS26" s="42" t="str">
        <f>IslandModel[[#This Row],[Input 3]]</f>
        <v/>
      </c>
      <c r="CT26" s="42">
        <f>-IslandModel[[#This Row],[Input 3 Consumed]]</f>
        <v>0</v>
      </c>
      <c r="CU26" s="42" t="str">
        <f>IslandModel[[#This Row],[Input 4]]</f>
        <v/>
      </c>
      <c r="CV26" s="42">
        <f>-IslandModel[[#This Row],[Input 4 Consumed]]</f>
        <v>0</v>
      </c>
      <c r="CW26" s="42" t="str">
        <f>IslandModel[[#This Row],[Input 5]]</f>
        <v/>
      </c>
      <c r="CX26" s="42">
        <f>-IslandModel[[#This Row],[Input 5 Consumed]]</f>
        <v>0</v>
      </c>
      <c r="CY26" s="42" t="str">
        <f>IslandModel[[#This Row],[Input 6]]</f>
        <v/>
      </c>
      <c r="CZ26" s="42">
        <f>-IslandModel[[#This Row],[Input 6 Consumed]]</f>
        <v>0</v>
      </c>
      <c r="DA26" s="42" t="str">
        <f>IslandModel[[#This Row],[Input 7]]</f>
        <v/>
      </c>
      <c r="DB26" s="42">
        <f>-IslandModel[[#This Row],[Input 7 Consumed]]</f>
        <v>0</v>
      </c>
      <c r="DC26" s="42" t="str">
        <f>IslandModel[[#This Row],[Input 8]]</f>
        <v/>
      </c>
      <c r="DD26" s="42">
        <f>-IslandModel[[#This Row],[Input 8 Consumed]]</f>
        <v>0</v>
      </c>
      <c r="DE26" s="42" t="str">
        <f>IslandModel[[#This Row],[Input 9]]</f>
        <v/>
      </c>
      <c r="DF26" s="42">
        <f>-IslandModel[[#This Row],[Input 9 Consumed]]</f>
        <v>0</v>
      </c>
      <c r="DG26" s="42" t="str">
        <f>IslandModel[[#This Row],[Input 10]]</f>
        <v/>
      </c>
      <c r="DH26" s="42">
        <f>-IslandModel[[#This Row],[Input 10 Consumed]]</f>
        <v>0</v>
      </c>
      <c r="DJ26" t="s">
        <v>384</v>
      </c>
      <c r="DK26" s="39">
        <f>SUM(SUMIFS(IslandModel[Resource 1 Qty],IslandModel[Resource 1],ResourceAvailable[[#This Row],[Resource]]))</f>
        <v>0</v>
      </c>
      <c r="DL26"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26" s="39">
        <f>ResourceAvailable[[#This Row],[Amount Produced]]-ResourceAvailable[[#This Row],[Amount Consumed]]</f>
        <v>0</v>
      </c>
      <c r="DN26" s="20">
        <f>MAX(0,ResourceAvailable[[#This Row],[Amount Available for Resident Consumption]]-SUMIFS(ConsumptionModel[Resource Demand],ConsumptionModel[Resource],ResourceAvailable[[#This Row],[Resource]]))</f>
        <v>0</v>
      </c>
    </row>
    <row r="27" spans="2:118" ht="21" x14ac:dyDescent="0.65">
      <c r="B27" s="170">
        <f>ROW()</f>
        <v>27</v>
      </c>
      <c r="C27" s="171">
        <f>INDEX(ConsumptionModelInputs[Quantity],MATCH(ConsumptionModel[[#This Row],[Building]],ConsumptionModelInputs[Building],0))</f>
        <v>10</v>
      </c>
      <c r="D27" s="172" t="s">
        <v>56</v>
      </c>
      <c r="E27" s="172" t="s">
        <v>330</v>
      </c>
      <c r="F27" s="189" t="str">
        <f>IF(OR(ISBLANK(ConsumptionModel[[#This Row],[Building]]),ISBLANK(ConsumptionModel[[#This Row],[Resource]]))," - ",INDEX(Consumption[Type],MATCH(ConsumptionModel[[#This Row],[LookupValue]],Consumption[LookupValue],0)))</f>
        <v>Need</v>
      </c>
      <c r="G27" s="174" t="str">
        <f>IF(OR(ISBLANK(ConsumptionModel[[#This Row],[Building]]),ISBLANK(ConsumptionModel[[#This Row],[Resource]]))," - ",ConsumptionModel[[#This Row],[Building]]&amp;" - "&amp;ConsumptionModel[[#This Row],[Resource]])</f>
        <v>Colonist's House - Water</v>
      </c>
      <c r="H27" s="175">
        <f>ConsumptionModel[[#This Row],[Quantity]]*INDEX(Consumption[Consumption/person/h],MATCH(ConsumptionModel[[#This Row],[LookupValue]],Consumption[LookupValue],0))*IFERROR(INDEX(ResidentBuildings[Residents],MATCH(ConsumptionModel[[#This Row],[Building]],ResidentBuildings[Building],0)),0)</f>
        <v>0</v>
      </c>
      <c r="I27" s="175">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27" s="190">
        <f>IF(ConsumptionModel[[#This Row],[Quantity]]=0,"",IF(AND(ConsumptionModel[[#This Row],[Resource Demand]]=0,ConsumptionModel[[#This Row],[Resource Available]]&gt;0),1,MIN(1,IFERROR(ConsumptionModel[[#This Row],[Resource Available]]/ConsumptionModel[[#This Row],[Resource Demand]],0))))</f>
        <v>0</v>
      </c>
      <c r="K27" s="177">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N27" s="7" t="s">
        <v>839</v>
      </c>
      <c r="O27" s="196" t="s">
        <v>367</v>
      </c>
      <c r="P27" s="71">
        <f>SUMIFS(ResourceAvailable[Amount Produced],ResourceAvailable[Resource],ResourceMonitor[[#This Row],[Resource]])</f>
        <v>0</v>
      </c>
      <c r="Q27" s="71">
        <f>SUMIFS(ResourceAvailable[Amount Consumed],ResourceAvailable[Resource],ResourceMonitor[[#This Row],[Resource]])</f>
        <v>0</v>
      </c>
      <c r="R27" s="71">
        <f>SUMIFS(ResourceAvailable[Amount Available for Resident Consumption],ResourceAvailable[Resource],ResourceMonitor[[#This Row],[Resource]])</f>
        <v>0</v>
      </c>
      <c r="S27" s="39">
        <f>MAX(0,ResourceMonitor[[#This Row],[Amount Available for Resident Consumption]]-SUMIFS(ConsumptionModel[Resource Demand],ConsumptionModel[Resource],ResourceMonitor[[#This Row],[Resource]]))</f>
        <v>0</v>
      </c>
      <c r="T27" s="39">
        <f>MIN(0,ResourceMonitor[[#This Row],[Amount Available for Resident Consumption]]-SUMIFS(ConsumptionModel[Resource Demand],ConsumptionModel[Resource],ResourceMonitor[[#This Row],[Resource]]))</f>
        <v>-45</v>
      </c>
      <c r="U27" s="122">
        <f>IFERROR(INDEX(#REF!,MATCH(ResourceMonitor[[#This Row],[Resource]],#REF!,0)),0)</f>
        <v>0</v>
      </c>
      <c r="V27" s="194">
        <f>IFERROR(ResourceMonitor[[#This Row],[Amount Produced]]/ResourceMonitor[[#This Row],[Production Target]],0)</f>
        <v>0</v>
      </c>
      <c r="W27" s="133"/>
      <c r="X27" s="47">
        <f>IF(ResourceMonitor[[#This Row],[Ignore shipping needs?]]="Yes",0,ROUNDUP(ResourceMonitor[[#This Row],[Production Target]]/INDEX(ShipRequirementCalculator[Cargo capacity/h (return, 50% empty)],MATCH($X$15,ShipRequirementCalculator[Ship],0)),0))</f>
        <v>0</v>
      </c>
      <c r="Y27" s="47">
        <f>IF(ResourceMonitor[[#This Row],[Ignore shipping needs?]]="Yes",0,ROUNDUP(ResourceMonitor[[#This Row],[Production Target]]/INDEX(ShipRequirementCalculator[Cargo capacity/h (return, 50% empty)],MATCH($Y$15,ShipRequirementCalculator[Ship],0)),0))</f>
        <v>0</v>
      </c>
      <c r="Z27" s="47">
        <f>IF(ResourceMonitor[[#This Row],[Ignore shipping needs?]]="Yes",0,ROUNDUP(ResourceMonitor[[#This Row],[Production Target]]/INDEX(ShipRequirementCalculator[Cargo capacity/h (return, 50% empty)],MATCH($Z$15,ShipRequirementCalculator[Ship],0)),0))</f>
        <v>0</v>
      </c>
      <c r="AA27" s="124"/>
      <c r="AD27" s="36">
        <f>ROW()</f>
        <v>27</v>
      </c>
      <c r="AE27" s="74"/>
      <c r="AF27" s="50"/>
      <c r="AG27" s="50"/>
      <c r="AH27" s="74"/>
      <c r="AI27" s="156">
        <f>IFERROR(IslandModel[[#This Row],[Quantity]]/IslandModel[[#This Row],[Target Quantity]],0)</f>
        <v>0</v>
      </c>
      <c r="AJ27" s="20" t="str">
        <f>IFERROR(INDEX(Production[Resource Produced],MATCH(IslandModel[[#This Row],[Building]],Production[Building],0)),"")</f>
        <v/>
      </c>
      <c r="AK27" s="14">
        <f>IFERROR(IslandModel[[#This Row],[Quantity]]*INDEX(Production[Production in 1h],MATCH(IslandModel[[#This Row],[Building]],Production[Building],0))*IslandModel[[#This Row],[Input Consumption Multiplier]],0)</f>
        <v>0</v>
      </c>
      <c r="AL27" s="90">
        <f>100%</f>
        <v>1</v>
      </c>
      <c r="AM27"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27" s="35" t="str">
        <f>IFERROR(INDEX(Production[Input 1],MATCH(IslandModel[[#This Row],[Building]],Production[Building],0)),"")</f>
        <v/>
      </c>
      <c r="AO27" s="18"/>
      <c r="AP27" s="41"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27"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27" s="41">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27" s="35" t="str">
        <f>IFERROR(INDEX(Production[Input 2],MATCH(IslandModel[[#This Row],[Building]],Production[Building],0)),"")</f>
        <v/>
      </c>
      <c r="AT27" s="18"/>
      <c r="AU27"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27"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27"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27" s="35" t="str">
        <f>IFERROR(INDEX(Production[Input 3],MATCH(IslandModel[[#This Row],[Building]],Production[Building],0)),"")</f>
        <v/>
      </c>
      <c r="AY27" s="18"/>
      <c r="AZ27"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27"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27"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27" s="35" t="str">
        <f>IFERROR(INDEX(Production[Input 4],MATCH(IslandModel[[#This Row],[Building]],Production[Building],0)),"")</f>
        <v/>
      </c>
      <c r="BD27" s="18"/>
      <c r="BE27"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27"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27" s="41">
        <f>IF(OR(IslandModel[[#This Row],[Assume All Inputs Are Available?]]="Yes",IslandModel[[#This Row],[Input 4 Assume Available]]="Yes"),0,IFERROR(MIN(IslandModel[[#This Row],[Input Consumption Multiplier]]*IslandModel[[#This Row],[Input 4 Needed]],IslandModel[[#This Row],[Input 4 Available]],IslandModel[[#This Row],[Input 4 Needed]]),0))</f>
        <v>0</v>
      </c>
      <c r="BH27" s="35" t="str">
        <f>IFERROR(INDEX(Production[Input 5],MATCH(IslandModel[[#This Row],[Building]],Production[Building],0)),"")</f>
        <v/>
      </c>
      <c r="BI27" s="18"/>
      <c r="BJ27"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27"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27" s="41">
        <f>IF(OR(IslandModel[[#This Row],[Assume All Inputs Are Available?]]="Yes",IslandModel[[#This Row],[Input 5 Assume Available]]="Yes"),0,IFERROR(MIN(IslandModel[[#This Row],[Input Consumption Multiplier]]*IslandModel[[#This Row],[Input 5 Needed]],IslandModel[[#This Row],[Input 5 Available]],IslandModel[[#This Row],[Input 5 Needed]]),0))</f>
        <v>0</v>
      </c>
      <c r="BM27" s="35" t="str">
        <f>IFERROR(INDEX(Production[Input 6],MATCH(IslandModel[[#This Row],[Building]],Production[Building],0)),"")</f>
        <v/>
      </c>
      <c r="BN27" s="18"/>
      <c r="BO27"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27"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27" s="41">
        <f>IF(OR(IslandModel[[#This Row],[Assume All Inputs Are Available?]]="Yes",IslandModel[[#This Row],[Input 6 Assume Available]]="Yes"),0,IFERROR(MIN(IslandModel[[#This Row],[Input Consumption Multiplier]]*IslandModel[[#This Row],[Input 6 Needed]],IslandModel[[#This Row],[Input 6 Available]],IslandModel[[#This Row],[Input 6 Needed]]),0))</f>
        <v>0</v>
      </c>
      <c r="BR27" s="35" t="str">
        <f>IFERROR(INDEX(Production[Input 7],MATCH(IslandModel[[#This Row],[Building]],Production[Building],0)),"")</f>
        <v/>
      </c>
      <c r="BS27" s="18"/>
      <c r="BT27"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27"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27" s="41">
        <f>IF(OR(IslandModel[[#This Row],[Assume All Inputs Are Available?]]="Yes",IslandModel[[#This Row],[Input 7 Assume Available]]="Yes"),0,IFERROR(MIN(IslandModel[[#This Row],[Input Consumption Multiplier]]*IslandModel[[#This Row],[Input 7 Needed]],IslandModel[[#This Row],[Input 7 Available]],IslandModel[[#This Row],[Input 7 Needed]]),0))</f>
        <v>0</v>
      </c>
      <c r="BW27" s="35" t="str">
        <f>IFERROR(INDEX(Production[Input 8],MATCH(IslandModel[[#This Row],[Building]],Production[Building],0)),"")</f>
        <v/>
      </c>
      <c r="BX27" s="18"/>
      <c r="BY27"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27"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27" s="41">
        <f>IF(OR(IslandModel[[#This Row],[Assume All Inputs Are Available?]]="Yes",IslandModel[[#This Row],[Input 8 Assume Available]]="Yes"),0,IFERROR(MIN(IslandModel[[#This Row],[Input Consumption Multiplier]]*IslandModel[[#This Row],[Input 8 Needed]],IslandModel[[#This Row],[Input 8 Available]],IslandModel[[#This Row],[Input 8 Needed]]),0))</f>
        <v>0</v>
      </c>
      <c r="CB27" s="35" t="str">
        <f>IFERROR(INDEX(Production[Input 9],MATCH(IslandModel[[#This Row],[Building]],Production[Building],0)),"")</f>
        <v/>
      </c>
      <c r="CC27" s="18"/>
      <c r="CD27"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27"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27" s="41">
        <f>IF(OR(IslandModel[[#This Row],[Assume All Inputs Are Available?]]="Yes",IslandModel[[#This Row],[Input 9 Assume Available]]="Yes"),0,IFERROR(MIN(IslandModel[[#This Row],[Input Consumption Multiplier]]*IslandModel[[#This Row],[Input 9 Needed]],IslandModel[[#This Row],[Input 9 Available]],IslandModel[[#This Row],[Input 9 Needed]]),0))</f>
        <v>0</v>
      </c>
      <c r="CG27" s="35" t="str">
        <f>IFERROR(INDEX(Production[Input 10],MATCH(IslandModel[[#This Row],[Building]],Production[Building],0)),"")</f>
        <v/>
      </c>
      <c r="CH27" s="18"/>
      <c r="CI27"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27"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27" s="41">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27" s="48">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27" s="34" t="str">
        <f>IslandModel[[#This Row],[Resource Produced]]</f>
        <v/>
      </c>
      <c r="CN27" s="42">
        <f>IslandModel[[#This Row],[Amount produced/h]]</f>
        <v>0</v>
      </c>
      <c r="CO27" s="42" t="str">
        <f>IslandModel[[#This Row],[Input 1]]</f>
        <v/>
      </c>
      <c r="CP27" s="42">
        <f>-IslandModel[[#This Row],[Input 1 Consumed]]</f>
        <v>0</v>
      </c>
      <c r="CQ27" s="42" t="str">
        <f>IslandModel[[#This Row],[Input 2]]</f>
        <v/>
      </c>
      <c r="CR27" s="42">
        <f>-IslandModel[[#This Row],[Input 2 Consumed]]</f>
        <v>0</v>
      </c>
      <c r="CS27" s="42" t="str">
        <f>IslandModel[[#This Row],[Input 3]]</f>
        <v/>
      </c>
      <c r="CT27" s="42">
        <f>-IslandModel[[#This Row],[Input 3 Consumed]]</f>
        <v>0</v>
      </c>
      <c r="CU27" s="42" t="str">
        <f>IslandModel[[#This Row],[Input 4]]</f>
        <v/>
      </c>
      <c r="CV27" s="42">
        <f>-IslandModel[[#This Row],[Input 4 Consumed]]</f>
        <v>0</v>
      </c>
      <c r="CW27" s="42" t="str">
        <f>IslandModel[[#This Row],[Input 5]]</f>
        <v/>
      </c>
      <c r="CX27" s="42">
        <f>-IslandModel[[#This Row],[Input 5 Consumed]]</f>
        <v>0</v>
      </c>
      <c r="CY27" s="42" t="str">
        <f>IslandModel[[#This Row],[Input 6]]</f>
        <v/>
      </c>
      <c r="CZ27" s="42">
        <f>-IslandModel[[#This Row],[Input 6 Consumed]]</f>
        <v>0</v>
      </c>
      <c r="DA27" s="42" t="str">
        <f>IslandModel[[#This Row],[Input 7]]</f>
        <v/>
      </c>
      <c r="DB27" s="42">
        <f>-IslandModel[[#This Row],[Input 7 Consumed]]</f>
        <v>0</v>
      </c>
      <c r="DC27" s="42" t="str">
        <f>IslandModel[[#This Row],[Input 8]]</f>
        <v/>
      </c>
      <c r="DD27" s="42">
        <f>-IslandModel[[#This Row],[Input 8 Consumed]]</f>
        <v>0</v>
      </c>
      <c r="DE27" s="42" t="str">
        <f>IslandModel[[#This Row],[Input 9]]</f>
        <v/>
      </c>
      <c r="DF27" s="42">
        <f>-IslandModel[[#This Row],[Input 9 Consumed]]</f>
        <v>0</v>
      </c>
      <c r="DG27" s="42" t="str">
        <f>IslandModel[[#This Row],[Input 10]]</f>
        <v/>
      </c>
      <c r="DH27" s="42">
        <f>-IslandModel[[#This Row],[Input 10 Consumed]]</f>
        <v>0</v>
      </c>
      <c r="DJ27" t="s">
        <v>74</v>
      </c>
      <c r="DK27" s="39">
        <f>SUM(SUMIFS(IslandModel[Resource 1 Qty],IslandModel[Resource 1],ResourceAvailable[[#This Row],[Resource]]))</f>
        <v>0</v>
      </c>
      <c r="DL27"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27" s="39">
        <f>ResourceAvailable[[#This Row],[Amount Produced]]-ResourceAvailable[[#This Row],[Amount Consumed]]</f>
        <v>0</v>
      </c>
      <c r="DN27" s="20">
        <f>MAX(0,ResourceAvailable[[#This Row],[Amount Available for Resident Consumption]]-SUMIFS(ConsumptionModel[Resource Demand],ConsumptionModel[Resource],ResourceAvailable[[#This Row],[Resource]]))</f>
        <v>0</v>
      </c>
    </row>
    <row r="28" spans="2:118" ht="21" x14ac:dyDescent="0.65">
      <c r="B28" s="178">
        <f>ROW()</f>
        <v>28</v>
      </c>
      <c r="C28" s="70">
        <f>INDEX(ConsumptionModelInputs[Quantity],MATCH(ConsumptionModel[[#This Row],[Building]],ConsumptionModelInputs[Building],0))</f>
        <v>10</v>
      </c>
      <c r="D28" s="179" t="s">
        <v>56</v>
      </c>
      <c r="E28" s="179" t="s">
        <v>63</v>
      </c>
      <c r="F28" s="191" t="str">
        <f>IF(OR(ISBLANK(ConsumptionModel[[#This Row],[Building]]),ISBLANK(ConsumptionModel[[#This Row],[Resource]]))," - ",INDEX(Consumption[Type],MATCH(ConsumptionModel[[#This Row],[LookupValue]],Consumption[LookupValue],0)))</f>
        <v>Need</v>
      </c>
      <c r="G28" s="61" t="str">
        <f>IF(OR(ISBLANK(ConsumptionModel[[#This Row],[Building]]),ISBLANK(ConsumptionModel[[#This Row],[Resource]]))," - ",ConsumptionModel[[#This Row],[Building]]&amp;" - "&amp;ConsumptionModel[[#This Row],[Resource]])</f>
        <v>Colonist's House - Fish</v>
      </c>
      <c r="H28" s="62">
        <f>ConsumptionModel[[#This Row],[Quantity]]*INDEX(Consumption[Consumption/person/h],MATCH(ConsumptionModel[[#This Row],[LookupValue]],Consumption[LookupValue],0))*IFERROR(INDEX(ResidentBuildings[Residents],MATCH(ConsumptionModel[[#This Row],[Building]],ResidentBuildings[Building],0)),0)</f>
        <v>225</v>
      </c>
      <c r="I28"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28" s="57">
        <f>IF(ConsumptionModel[[#This Row],[Quantity]]=0,"",IF(AND(ConsumptionModel[[#This Row],[Resource Demand]]=0,ConsumptionModel[[#This Row],[Resource Available]]&gt;0),1,MIN(1,IFERROR(ConsumptionModel[[#This Row],[Resource Available]]/ConsumptionModel[[#This Row],[Resource Demand]],0))))</f>
        <v>0</v>
      </c>
      <c r="K28"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N28" s="7" t="s">
        <v>832</v>
      </c>
      <c r="O28" s="196" t="s">
        <v>108</v>
      </c>
      <c r="P28" s="71">
        <f>SUMIFS(ResourceAvailable[Amount Produced],ResourceAvailable[Resource],ResourceMonitor[[#This Row],[Resource]])</f>
        <v>0</v>
      </c>
      <c r="Q28" s="71">
        <f>SUMIFS(ResourceAvailable[Amount Consumed],ResourceAvailable[Resource],ResourceMonitor[[#This Row],[Resource]])</f>
        <v>0</v>
      </c>
      <c r="R28" s="71">
        <f>SUMIFS(ResourceAvailable[Amount Available for Resident Consumption],ResourceAvailable[Resource],ResourceMonitor[[#This Row],[Resource]])</f>
        <v>0</v>
      </c>
      <c r="S28" s="39">
        <f>MAX(0,ResourceMonitor[[#This Row],[Amount Available for Resident Consumption]]-SUMIFS(ConsumptionModel[Resource Demand],ConsumptionModel[Resource],ResourceMonitor[[#This Row],[Resource]]))</f>
        <v>0</v>
      </c>
      <c r="T28" s="39">
        <f>MIN(0,ResourceMonitor[[#This Row],[Amount Available for Resident Consumption]]-SUMIFS(ConsumptionModel[Resource Demand],ConsumptionModel[Resource],ResourceMonitor[[#This Row],[Resource]]))</f>
        <v>-117.00000000000001</v>
      </c>
      <c r="U28" s="122">
        <f>IFERROR(INDEX(#REF!,MATCH(ResourceMonitor[[#This Row],[Resource]],#REF!,0)),0)</f>
        <v>0</v>
      </c>
      <c r="V28" s="194">
        <f>IFERROR(ResourceMonitor[[#This Row],[Amount Produced]]/ResourceMonitor[[#This Row],[Production Target]],0)</f>
        <v>0</v>
      </c>
      <c r="W28" s="133"/>
      <c r="X28" s="47">
        <f>IF(ResourceMonitor[[#This Row],[Ignore shipping needs?]]="Yes",0,ROUNDUP(ResourceMonitor[[#This Row],[Production Target]]/INDEX(ShipRequirementCalculator[Cargo capacity/h (return, 50% empty)],MATCH($X$15,ShipRequirementCalculator[Ship],0)),0))</f>
        <v>0</v>
      </c>
      <c r="Y28" s="47">
        <f>IF(ResourceMonitor[[#This Row],[Ignore shipping needs?]]="Yes",0,ROUNDUP(ResourceMonitor[[#This Row],[Production Target]]/INDEX(ShipRequirementCalculator[Cargo capacity/h (return, 50% empty)],MATCH($Y$15,ShipRequirementCalculator[Ship],0)),0))</f>
        <v>0</v>
      </c>
      <c r="Z28" s="47">
        <f>IF(ResourceMonitor[[#This Row],[Ignore shipping needs?]]="Yes",0,ROUNDUP(ResourceMonitor[[#This Row],[Production Target]]/INDEX(ShipRequirementCalculator[Cargo capacity/h (return, 50% empty)],MATCH($Z$15,ShipRequirementCalculator[Ship],0)),0))</f>
        <v>0</v>
      </c>
      <c r="AA28" s="124"/>
      <c r="AD28" s="36">
        <f>ROW()</f>
        <v>28</v>
      </c>
      <c r="AE28" s="74"/>
      <c r="AF28" s="50"/>
      <c r="AG28" s="50"/>
      <c r="AH28" s="74"/>
      <c r="AI28" s="156">
        <f>IFERROR(IslandModel[[#This Row],[Quantity]]/IslandModel[[#This Row],[Target Quantity]],0)</f>
        <v>0</v>
      </c>
      <c r="AJ28" s="20" t="str">
        <f>IFERROR(INDEX(Production[Resource Produced],MATCH(IslandModel[[#This Row],[Building]],Production[Building],0)),"")</f>
        <v/>
      </c>
      <c r="AK28" s="14">
        <f>IFERROR(IslandModel[[#This Row],[Quantity]]*INDEX(Production[Production in 1h],MATCH(IslandModel[[#This Row],[Building]],Production[Building],0))*IslandModel[[#This Row],[Input Consumption Multiplier]],0)</f>
        <v>0</v>
      </c>
      <c r="AL28" s="90">
        <f>100%</f>
        <v>1</v>
      </c>
      <c r="AM28"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28" s="35" t="str">
        <f>IFERROR(INDEX(Production[Input 1],MATCH(IslandModel[[#This Row],[Building]],Production[Building],0)),"")</f>
        <v/>
      </c>
      <c r="AO28" s="18"/>
      <c r="AP28" s="41"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28"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28" s="41">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28" s="35" t="str">
        <f>IFERROR(INDEX(Production[Input 2],MATCH(IslandModel[[#This Row],[Building]],Production[Building],0)),"")</f>
        <v/>
      </c>
      <c r="AT28" s="18"/>
      <c r="AU28"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28"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28"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28" s="35" t="str">
        <f>IFERROR(INDEX(Production[Input 3],MATCH(IslandModel[[#This Row],[Building]],Production[Building],0)),"")</f>
        <v/>
      </c>
      <c r="AY28" s="18"/>
      <c r="AZ28"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28"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28"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28" s="35" t="str">
        <f>IFERROR(INDEX(Production[Input 4],MATCH(IslandModel[[#This Row],[Building]],Production[Building],0)),"")</f>
        <v/>
      </c>
      <c r="BD28" s="18"/>
      <c r="BE28"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28"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28" s="41">
        <f>IF(OR(IslandModel[[#This Row],[Assume All Inputs Are Available?]]="Yes",IslandModel[[#This Row],[Input 4 Assume Available]]="Yes"),0,IFERROR(MIN(IslandModel[[#This Row],[Input Consumption Multiplier]]*IslandModel[[#This Row],[Input 4 Needed]],IslandModel[[#This Row],[Input 4 Available]],IslandModel[[#This Row],[Input 4 Needed]]),0))</f>
        <v>0</v>
      </c>
      <c r="BH28" s="35" t="str">
        <f>IFERROR(INDEX(Production[Input 5],MATCH(IslandModel[[#This Row],[Building]],Production[Building],0)),"")</f>
        <v/>
      </c>
      <c r="BI28" s="18"/>
      <c r="BJ28"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28"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28" s="41">
        <f>IF(OR(IslandModel[[#This Row],[Assume All Inputs Are Available?]]="Yes",IslandModel[[#This Row],[Input 5 Assume Available]]="Yes"),0,IFERROR(MIN(IslandModel[[#This Row],[Input Consumption Multiplier]]*IslandModel[[#This Row],[Input 5 Needed]],IslandModel[[#This Row],[Input 5 Available]],IslandModel[[#This Row],[Input 5 Needed]]),0))</f>
        <v>0</v>
      </c>
      <c r="BM28" s="35" t="str">
        <f>IFERROR(INDEX(Production[Input 6],MATCH(IslandModel[[#This Row],[Building]],Production[Building],0)),"")</f>
        <v/>
      </c>
      <c r="BN28" s="18"/>
      <c r="BO28"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28"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28" s="41">
        <f>IF(OR(IslandModel[[#This Row],[Assume All Inputs Are Available?]]="Yes",IslandModel[[#This Row],[Input 6 Assume Available]]="Yes"),0,IFERROR(MIN(IslandModel[[#This Row],[Input Consumption Multiplier]]*IslandModel[[#This Row],[Input 6 Needed]],IslandModel[[#This Row],[Input 6 Available]],IslandModel[[#This Row],[Input 6 Needed]]),0))</f>
        <v>0</v>
      </c>
      <c r="BR28" s="35" t="str">
        <f>IFERROR(INDEX(Production[Input 7],MATCH(IslandModel[[#This Row],[Building]],Production[Building],0)),"")</f>
        <v/>
      </c>
      <c r="BS28" s="18"/>
      <c r="BT28"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28"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28" s="41">
        <f>IF(OR(IslandModel[[#This Row],[Assume All Inputs Are Available?]]="Yes",IslandModel[[#This Row],[Input 7 Assume Available]]="Yes"),0,IFERROR(MIN(IslandModel[[#This Row],[Input Consumption Multiplier]]*IslandModel[[#This Row],[Input 7 Needed]],IslandModel[[#This Row],[Input 7 Available]],IslandModel[[#This Row],[Input 7 Needed]]),0))</f>
        <v>0</v>
      </c>
      <c r="BW28" s="35" t="str">
        <f>IFERROR(INDEX(Production[Input 8],MATCH(IslandModel[[#This Row],[Building]],Production[Building],0)),"")</f>
        <v/>
      </c>
      <c r="BX28" s="18"/>
      <c r="BY28"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28"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28" s="41">
        <f>IF(OR(IslandModel[[#This Row],[Assume All Inputs Are Available?]]="Yes",IslandModel[[#This Row],[Input 8 Assume Available]]="Yes"),0,IFERROR(MIN(IslandModel[[#This Row],[Input Consumption Multiplier]]*IslandModel[[#This Row],[Input 8 Needed]],IslandModel[[#This Row],[Input 8 Available]],IslandModel[[#This Row],[Input 8 Needed]]),0))</f>
        <v>0</v>
      </c>
      <c r="CB28" s="35" t="str">
        <f>IFERROR(INDEX(Production[Input 9],MATCH(IslandModel[[#This Row],[Building]],Production[Building],0)),"")</f>
        <v/>
      </c>
      <c r="CC28" s="18"/>
      <c r="CD28"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28"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28" s="41">
        <f>IF(OR(IslandModel[[#This Row],[Assume All Inputs Are Available?]]="Yes",IslandModel[[#This Row],[Input 9 Assume Available]]="Yes"),0,IFERROR(MIN(IslandModel[[#This Row],[Input Consumption Multiplier]]*IslandModel[[#This Row],[Input 9 Needed]],IslandModel[[#This Row],[Input 9 Available]],IslandModel[[#This Row],[Input 9 Needed]]),0))</f>
        <v>0</v>
      </c>
      <c r="CG28" s="35" t="str">
        <f>IFERROR(INDEX(Production[Input 10],MATCH(IslandModel[[#This Row],[Building]],Production[Building],0)),"")</f>
        <v/>
      </c>
      <c r="CH28" s="18"/>
      <c r="CI28"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28"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28" s="41">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28" s="48">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28" s="34" t="str">
        <f>IslandModel[[#This Row],[Resource Produced]]</f>
        <v/>
      </c>
      <c r="CN28" s="42">
        <f>IslandModel[[#This Row],[Amount produced/h]]</f>
        <v>0</v>
      </c>
      <c r="CO28" s="42" t="str">
        <f>IslandModel[[#This Row],[Input 1]]</f>
        <v/>
      </c>
      <c r="CP28" s="42">
        <f>-IslandModel[[#This Row],[Input 1 Consumed]]</f>
        <v>0</v>
      </c>
      <c r="CQ28" s="42" t="str">
        <f>IslandModel[[#This Row],[Input 2]]</f>
        <v/>
      </c>
      <c r="CR28" s="42">
        <f>-IslandModel[[#This Row],[Input 2 Consumed]]</f>
        <v>0</v>
      </c>
      <c r="CS28" s="42" t="str">
        <f>IslandModel[[#This Row],[Input 3]]</f>
        <v/>
      </c>
      <c r="CT28" s="42">
        <f>-IslandModel[[#This Row],[Input 3 Consumed]]</f>
        <v>0</v>
      </c>
      <c r="CU28" s="42" t="str">
        <f>IslandModel[[#This Row],[Input 4]]</f>
        <v/>
      </c>
      <c r="CV28" s="42">
        <f>-IslandModel[[#This Row],[Input 4 Consumed]]</f>
        <v>0</v>
      </c>
      <c r="CW28" s="42" t="str">
        <f>IslandModel[[#This Row],[Input 5]]</f>
        <v/>
      </c>
      <c r="CX28" s="42">
        <f>-IslandModel[[#This Row],[Input 5 Consumed]]</f>
        <v>0</v>
      </c>
      <c r="CY28" s="42" t="str">
        <f>IslandModel[[#This Row],[Input 6]]</f>
        <v/>
      </c>
      <c r="CZ28" s="42">
        <f>-IslandModel[[#This Row],[Input 6 Consumed]]</f>
        <v>0</v>
      </c>
      <c r="DA28" s="42" t="str">
        <f>IslandModel[[#This Row],[Input 7]]</f>
        <v/>
      </c>
      <c r="DB28" s="42">
        <f>-IslandModel[[#This Row],[Input 7 Consumed]]</f>
        <v>0</v>
      </c>
      <c r="DC28" s="42" t="str">
        <f>IslandModel[[#This Row],[Input 8]]</f>
        <v/>
      </c>
      <c r="DD28" s="42">
        <f>-IslandModel[[#This Row],[Input 8 Consumed]]</f>
        <v>0</v>
      </c>
      <c r="DE28" s="42" t="str">
        <f>IslandModel[[#This Row],[Input 9]]</f>
        <v/>
      </c>
      <c r="DF28" s="42">
        <f>-IslandModel[[#This Row],[Input 9 Consumed]]</f>
        <v>0</v>
      </c>
      <c r="DG28" s="42" t="str">
        <f>IslandModel[[#This Row],[Input 10]]</f>
        <v/>
      </c>
      <c r="DH28" s="42">
        <f>-IslandModel[[#This Row],[Input 10 Consumed]]</f>
        <v>0</v>
      </c>
      <c r="DJ28" t="s">
        <v>108</v>
      </c>
      <c r="DK28" s="39">
        <f>SUM(SUMIFS(IslandModel[Resource 1 Qty],IslandModel[Resource 1],ResourceAvailable[[#This Row],[Resource]]))</f>
        <v>0</v>
      </c>
      <c r="DL28"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28" s="39">
        <f>ResourceAvailable[[#This Row],[Amount Produced]]-ResourceAvailable[[#This Row],[Amount Consumed]]</f>
        <v>0</v>
      </c>
      <c r="DN28" s="20">
        <f>MAX(0,ResourceAvailable[[#This Row],[Amount Available for Resident Consumption]]-SUMIFS(ConsumptionModel[Resource Demand],ConsumptionModel[Resource],ResourceAvailable[[#This Row],[Resource]]))</f>
        <v>0</v>
      </c>
    </row>
    <row r="29" spans="2:118" ht="21" x14ac:dyDescent="0.65">
      <c r="B29" s="178">
        <f>ROW()</f>
        <v>29</v>
      </c>
      <c r="C29" s="70">
        <f>INDEX(ConsumptionModelInputs[Quantity],MATCH(ConsumptionModel[[#This Row],[Building]],ConsumptionModelInputs[Building],0))</f>
        <v>10</v>
      </c>
      <c r="D29" s="179" t="s">
        <v>56</v>
      </c>
      <c r="E29" s="179" t="s">
        <v>66</v>
      </c>
      <c r="F29" s="191" t="str">
        <f>IF(OR(ISBLANK(ConsumptionModel[[#This Row],[Building]]),ISBLANK(ConsumptionModel[[#This Row],[Resource]]))," - ",INDEX(Consumption[Type],MATCH(ConsumptionModel[[#This Row],[LookupValue]],Consumption[LookupValue],0)))</f>
        <v>Need</v>
      </c>
      <c r="G29" s="61" t="str">
        <f>IF(OR(ISBLANK(ConsumptionModel[[#This Row],[Building]]),ISBLANK(ConsumptionModel[[#This Row],[Resource]]))," - ",ConsumptionModel[[#This Row],[Building]]&amp;" - "&amp;ConsumptionModel[[#This Row],[Resource]])</f>
        <v>Colonist's House - Schnapps</v>
      </c>
      <c r="H29" s="62">
        <f>ConsumptionModel[[#This Row],[Quantity]]*INDEX(Consumption[Consumption/person/h],MATCH(ConsumptionModel[[#This Row],[LookupValue]],Consumption[LookupValue],0))*IFERROR(INDEX(ResidentBuildings[Residents],MATCH(ConsumptionModel[[#This Row],[Building]],ResidentBuildings[Building],0)),0)</f>
        <v>199.99999999999997</v>
      </c>
      <c r="I29"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29" s="57">
        <f>IF(ConsumptionModel[[#This Row],[Quantity]]=0,"",IF(AND(ConsumptionModel[[#This Row],[Resource Demand]]=0,ConsumptionModel[[#This Row],[Resource Available]]&gt;0),1,MIN(1,IFERROR(ConsumptionModel[[#This Row],[Resource Available]]/ConsumptionModel[[#This Row],[Resource Demand]],0))))</f>
        <v>0</v>
      </c>
      <c r="K29"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N29" s="7" t="s">
        <v>833</v>
      </c>
      <c r="O29" s="196" t="s">
        <v>116</v>
      </c>
      <c r="P29" s="71">
        <f>SUMIFS(ResourceAvailable[Amount Produced],ResourceAvailable[Resource],ResourceMonitor[[#This Row],[Resource]])</f>
        <v>0</v>
      </c>
      <c r="Q29" s="71">
        <f>SUMIFS(ResourceAvailable[Amount Consumed],ResourceAvailable[Resource],ResourceMonitor[[#This Row],[Resource]])</f>
        <v>0</v>
      </c>
      <c r="R29" s="71">
        <f>SUMIFS(ResourceAvailable[Amount Available for Resident Consumption],ResourceAvailable[Resource],ResourceMonitor[[#This Row],[Resource]])</f>
        <v>0</v>
      </c>
      <c r="S29" s="39">
        <f>MAX(0,ResourceMonitor[[#This Row],[Amount Available for Resident Consumption]]-SUMIFS(ConsumptionModel[Resource Demand],ConsumptionModel[Resource],ResourceMonitor[[#This Row],[Resource]]))</f>
        <v>0</v>
      </c>
      <c r="T29" s="39">
        <f>MIN(0,ResourceMonitor[[#This Row],[Amount Available for Resident Consumption]]-SUMIFS(ConsumptionModel[Resource Demand],ConsumptionModel[Resource],ResourceMonitor[[#This Row],[Resource]]))</f>
        <v>-228</v>
      </c>
      <c r="U29" s="122">
        <f>IFERROR(INDEX(#REF!,MATCH(ResourceMonitor[[#This Row],[Resource]],#REF!,0)),0)</f>
        <v>0</v>
      </c>
      <c r="V29" s="194">
        <f>IFERROR(ResourceMonitor[[#This Row],[Amount Produced]]/ResourceMonitor[[#This Row],[Production Target]],0)</f>
        <v>0</v>
      </c>
      <c r="W29" s="133"/>
      <c r="X29" s="47">
        <f>IF(ResourceMonitor[[#This Row],[Ignore shipping needs?]]="Yes",0,ROUNDUP(ResourceMonitor[[#This Row],[Production Target]]/INDEX(ShipRequirementCalculator[Cargo capacity/h (return, 50% empty)],MATCH($X$15,ShipRequirementCalculator[Ship],0)),0))</f>
        <v>0</v>
      </c>
      <c r="Y29" s="47">
        <f>IF(ResourceMonitor[[#This Row],[Ignore shipping needs?]]="Yes",0,ROUNDUP(ResourceMonitor[[#This Row],[Production Target]]/INDEX(ShipRequirementCalculator[Cargo capacity/h (return, 50% empty)],MATCH($Y$15,ShipRequirementCalculator[Ship],0)),0))</f>
        <v>0</v>
      </c>
      <c r="Z29" s="47">
        <f>IF(ResourceMonitor[[#This Row],[Ignore shipping needs?]]="Yes",0,ROUNDUP(ResourceMonitor[[#This Row],[Production Target]]/INDEX(ShipRequirementCalculator[Cargo capacity/h (return, 50% empty)],MATCH($Z$15,ShipRequirementCalculator[Ship],0)),0))</f>
        <v>0</v>
      </c>
      <c r="AA29" s="124"/>
      <c r="AD29" s="36">
        <f>ROW()</f>
        <v>29</v>
      </c>
      <c r="AE29" s="74"/>
      <c r="AF29" s="50"/>
      <c r="AG29" s="50"/>
      <c r="AH29" s="74"/>
      <c r="AI29" s="156">
        <f>IFERROR(IslandModel[[#This Row],[Quantity]]/IslandModel[[#This Row],[Target Quantity]],0)</f>
        <v>0</v>
      </c>
      <c r="AJ29" s="20" t="str">
        <f>IFERROR(INDEX(Production[Resource Produced],MATCH(IslandModel[[#This Row],[Building]],Production[Building],0)),"")</f>
        <v/>
      </c>
      <c r="AK29" s="14">
        <f>IFERROR(IslandModel[[#This Row],[Quantity]]*INDEX(Production[Production in 1h],MATCH(IslandModel[[#This Row],[Building]],Production[Building],0))*IslandModel[[#This Row],[Input Consumption Multiplier]],0)</f>
        <v>0</v>
      </c>
      <c r="AL29" s="90">
        <f>100%</f>
        <v>1</v>
      </c>
      <c r="AM29"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29" s="35" t="str">
        <f>IFERROR(INDEX(Production[Input 1],MATCH(IslandModel[[#This Row],[Building]],Production[Building],0)),"")</f>
        <v/>
      </c>
      <c r="AO29" s="18"/>
      <c r="AP29" s="41"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29"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29" s="41">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29" s="35" t="str">
        <f>IFERROR(INDEX(Production[Input 2],MATCH(IslandModel[[#This Row],[Building]],Production[Building],0)),"")</f>
        <v/>
      </c>
      <c r="AT29" s="18"/>
      <c r="AU29" s="98"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29"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29"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29" s="35" t="str">
        <f>IFERROR(INDEX(Production[Input 3],MATCH(IslandModel[[#This Row],[Building]],Production[Building],0)),"")</f>
        <v/>
      </c>
      <c r="AY29" s="18"/>
      <c r="AZ29" s="98"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29"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29"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29" s="35" t="str">
        <f>IFERROR(INDEX(Production[Input 4],MATCH(IslandModel[[#This Row],[Building]],Production[Building],0)),"")</f>
        <v/>
      </c>
      <c r="BD29" s="18"/>
      <c r="BE29" s="98"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29"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29" s="41">
        <f>IF(OR(IslandModel[[#This Row],[Assume All Inputs Are Available?]]="Yes",IslandModel[[#This Row],[Input 4 Assume Available]]="Yes"),0,IFERROR(MIN(IslandModel[[#This Row],[Input Consumption Multiplier]]*IslandModel[[#This Row],[Input 4 Needed]],IslandModel[[#This Row],[Input 4 Available]],IslandModel[[#This Row],[Input 4 Needed]]),0))</f>
        <v>0</v>
      </c>
      <c r="BH29" s="35" t="str">
        <f>IFERROR(INDEX(Production[Input 5],MATCH(IslandModel[[#This Row],[Building]],Production[Building],0)),"")</f>
        <v/>
      </c>
      <c r="BI29" s="18"/>
      <c r="BJ29" s="98"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29"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29" s="41">
        <f>IF(OR(IslandModel[[#This Row],[Assume All Inputs Are Available?]]="Yes",IslandModel[[#This Row],[Input 5 Assume Available]]="Yes"),0,IFERROR(MIN(IslandModel[[#This Row],[Input Consumption Multiplier]]*IslandModel[[#This Row],[Input 5 Needed]],IslandModel[[#This Row],[Input 5 Available]],IslandModel[[#This Row],[Input 5 Needed]]),0))</f>
        <v>0</v>
      </c>
      <c r="BM29" s="35" t="str">
        <f>IFERROR(INDEX(Production[Input 6],MATCH(IslandModel[[#This Row],[Building]],Production[Building],0)),"")</f>
        <v/>
      </c>
      <c r="BN29" s="18"/>
      <c r="BO29" s="98"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29"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29" s="41">
        <f>IF(OR(IslandModel[[#This Row],[Assume All Inputs Are Available?]]="Yes",IslandModel[[#This Row],[Input 6 Assume Available]]="Yes"),0,IFERROR(MIN(IslandModel[[#This Row],[Input Consumption Multiplier]]*IslandModel[[#This Row],[Input 6 Needed]],IslandModel[[#This Row],[Input 6 Available]],IslandModel[[#This Row],[Input 6 Needed]]),0))</f>
        <v>0</v>
      </c>
      <c r="BR29" s="35" t="str">
        <f>IFERROR(INDEX(Production[Input 7],MATCH(IslandModel[[#This Row],[Building]],Production[Building],0)),"")</f>
        <v/>
      </c>
      <c r="BS29" s="18"/>
      <c r="BT29" s="98"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29"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29" s="41">
        <f>IF(OR(IslandModel[[#This Row],[Assume All Inputs Are Available?]]="Yes",IslandModel[[#This Row],[Input 7 Assume Available]]="Yes"),0,IFERROR(MIN(IslandModel[[#This Row],[Input Consumption Multiplier]]*IslandModel[[#This Row],[Input 7 Needed]],IslandModel[[#This Row],[Input 7 Available]],IslandModel[[#This Row],[Input 7 Needed]]),0))</f>
        <v>0</v>
      </c>
      <c r="BW29" s="35" t="str">
        <f>IFERROR(INDEX(Production[Input 8],MATCH(IslandModel[[#This Row],[Building]],Production[Building],0)),"")</f>
        <v/>
      </c>
      <c r="BX29" s="18"/>
      <c r="BY29" s="98"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29"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29" s="41">
        <f>IF(OR(IslandModel[[#This Row],[Assume All Inputs Are Available?]]="Yes",IslandModel[[#This Row],[Input 8 Assume Available]]="Yes"),0,IFERROR(MIN(IslandModel[[#This Row],[Input Consumption Multiplier]]*IslandModel[[#This Row],[Input 8 Needed]],IslandModel[[#This Row],[Input 8 Available]],IslandModel[[#This Row],[Input 8 Needed]]),0))</f>
        <v>0</v>
      </c>
      <c r="CB29" s="35" t="str">
        <f>IFERROR(INDEX(Production[Input 9],MATCH(IslandModel[[#This Row],[Building]],Production[Building],0)),"")</f>
        <v/>
      </c>
      <c r="CC29" s="18"/>
      <c r="CD29" s="98"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29"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29" s="41">
        <f>IF(OR(IslandModel[[#This Row],[Assume All Inputs Are Available?]]="Yes",IslandModel[[#This Row],[Input 9 Assume Available]]="Yes"),0,IFERROR(MIN(IslandModel[[#This Row],[Input Consumption Multiplier]]*IslandModel[[#This Row],[Input 9 Needed]],IslandModel[[#This Row],[Input 9 Available]],IslandModel[[#This Row],[Input 9 Needed]]),0))</f>
        <v>0</v>
      </c>
      <c r="CG29" s="35" t="str">
        <f>IFERROR(INDEX(Production[Input 10],MATCH(IslandModel[[#This Row],[Building]],Production[Building],0)),"")</f>
        <v/>
      </c>
      <c r="CH29" s="18"/>
      <c r="CI29" s="98"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29"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29" s="41">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29" s="48">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29" s="34" t="str">
        <f>IslandModel[[#This Row],[Resource Produced]]</f>
        <v/>
      </c>
      <c r="CN29" s="42">
        <f>IslandModel[[#This Row],[Amount produced/h]]</f>
        <v>0</v>
      </c>
      <c r="CO29" s="42" t="str">
        <f>IslandModel[[#This Row],[Input 1]]</f>
        <v/>
      </c>
      <c r="CP29" s="42">
        <f>-IslandModel[[#This Row],[Input 1 Consumed]]</f>
        <v>0</v>
      </c>
      <c r="CQ29" s="42" t="str">
        <f>IslandModel[[#This Row],[Input 2]]</f>
        <v/>
      </c>
      <c r="CR29" s="42">
        <f>-IslandModel[[#This Row],[Input 2 Consumed]]</f>
        <v>0</v>
      </c>
      <c r="CS29" s="42" t="str">
        <f>IslandModel[[#This Row],[Input 3]]</f>
        <v/>
      </c>
      <c r="CT29" s="42">
        <f>-IslandModel[[#This Row],[Input 3 Consumed]]</f>
        <v>0</v>
      </c>
      <c r="CU29" s="42" t="str">
        <f>IslandModel[[#This Row],[Input 4]]</f>
        <v/>
      </c>
      <c r="CV29" s="42">
        <f>-IslandModel[[#This Row],[Input 4 Consumed]]</f>
        <v>0</v>
      </c>
      <c r="CW29" s="42" t="str">
        <f>IslandModel[[#This Row],[Input 5]]</f>
        <v/>
      </c>
      <c r="CX29" s="42">
        <f>-IslandModel[[#This Row],[Input 5 Consumed]]</f>
        <v>0</v>
      </c>
      <c r="CY29" s="42" t="str">
        <f>IslandModel[[#This Row],[Input 6]]</f>
        <v/>
      </c>
      <c r="CZ29" s="42">
        <f>-IslandModel[[#This Row],[Input 6 Consumed]]</f>
        <v>0</v>
      </c>
      <c r="DA29" s="42" t="str">
        <f>IslandModel[[#This Row],[Input 7]]</f>
        <v/>
      </c>
      <c r="DB29" s="42">
        <f>-IslandModel[[#This Row],[Input 7 Consumed]]</f>
        <v>0</v>
      </c>
      <c r="DC29" s="42" t="str">
        <f>IslandModel[[#This Row],[Input 8]]</f>
        <v/>
      </c>
      <c r="DD29" s="42">
        <f>-IslandModel[[#This Row],[Input 8 Consumed]]</f>
        <v>0</v>
      </c>
      <c r="DE29" s="42" t="str">
        <f>IslandModel[[#This Row],[Input 9]]</f>
        <v/>
      </c>
      <c r="DF29" s="42">
        <f>-IslandModel[[#This Row],[Input 9 Consumed]]</f>
        <v>0</v>
      </c>
      <c r="DG29" s="42" t="str">
        <f>IslandModel[[#This Row],[Input 10]]</f>
        <v/>
      </c>
      <c r="DH29" s="42">
        <f>-IslandModel[[#This Row],[Input 10 Consumed]]</f>
        <v>0</v>
      </c>
      <c r="DJ29" t="s">
        <v>123</v>
      </c>
      <c r="DK29" s="39">
        <f>SUM(SUMIFS(IslandModel[Resource 1 Qty],IslandModel[Resource 1],ResourceAvailable[[#This Row],[Resource]]))</f>
        <v>0</v>
      </c>
      <c r="DL29"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29" s="39">
        <f>ResourceAvailable[[#This Row],[Amount Produced]]-ResourceAvailable[[#This Row],[Amount Consumed]]</f>
        <v>0</v>
      </c>
      <c r="DN29" s="58">
        <f>MAX(0,ResourceAvailable[[#This Row],[Amount Available for Resident Consumption]]-SUMIFS(ConsumptionModel[Resource Demand],ConsumptionModel[Resource],ResourceAvailable[[#This Row],[Resource]]))</f>
        <v>0</v>
      </c>
    </row>
    <row r="30" spans="2:118" ht="21" x14ac:dyDescent="0.65">
      <c r="B30" s="178">
        <f>ROW()</f>
        <v>30</v>
      </c>
      <c r="C30" s="70">
        <f>INDEX(ConsumptionModelInputs[Quantity],MATCH(ConsumptionModel[[#This Row],[Building]],ConsumptionModelInputs[Building],0))</f>
        <v>10</v>
      </c>
      <c r="D30" s="179" t="s">
        <v>56</v>
      </c>
      <c r="E30" s="179" t="s">
        <v>72</v>
      </c>
      <c r="F30" s="191" t="str">
        <f>IF(OR(ISBLANK(ConsumptionModel[[#This Row],[Building]]),ISBLANK(ConsumptionModel[[#This Row],[Resource]]))," - ",INDEX(Consumption[Type],MATCH(ConsumptionModel[[#This Row],[LookupValue]],Consumption[LookupValue],0)))</f>
        <v>Luxury</v>
      </c>
      <c r="G30" s="61" t="str">
        <f>IF(OR(ISBLANK(ConsumptionModel[[#This Row],[Building]]),ISBLANK(ConsumptionModel[[#This Row],[Resource]]))," - ",ConsumptionModel[[#This Row],[Building]]&amp;" - "&amp;ConsumptionModel[[#This Row],[Resource]])</f>
        <v>Colonist's House - Linen</v>
      </c>
      <c r="H30" s="62">
        <f>ConsumptionModel[[#This Row],[Quantity]]*INDEX(Consumption[Consumption/person/h],MATCH(ConsumptionModel[[#This Row],[LookupValue]],Consumption[LookupValue],0))*IFERROR(INDEX(ResidentBuildings[Residents],MATCH(ConsumptionModel[[#This Row],[Building]],ResidentBuildings[Building],0)),0)</f>
        <v>60</v>
      </c>
      <c r="I30"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30" s="57">
        <f>IF(ConsumptionModel[[#This Row],[Quantity]]=0,"",IF(AND(ConsumptionModel[[#This Row],[Resource Demand]]=0,ConsumptionModel[[#This Row],[Resource Available]]&gt;0),1,MIN(1,IFERROR(ConsumptionModel[[#This Row],[Resource Available]]/ConsumptionModel[[#This Row],[Resource Demand]],0))))</f>
        <v>0</v>
      </c>
      <c r="K30"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30" s="196" t="s">
        <v>332</v>
      </c>
      <c r="P30" s="71">
        <f>SUMIFS(ResourceAvailable[Amount Produced],ResourceAvailable[Resource],ResourceMonitor[[#This Row],[Resource]])</f>
        <v>0</v>
      </c>
      <c r="Q30" s="71">
        <f>SUMIFS(ResourceAvailable[Amount Consumed],ResourceAvailable[Resource],ResourceMonitor[[#This Row],[Resource]])</f>
        <v>0</v>
      </c>
      <c r="R30" s="71">
        <f>SUMIFS(ResourceAvailable[Amount Available for Resident Consumption],ResourceAvailable[Resource],ResourceMonitor[[#This Row],[Resource]])</f>
        <v>0</v>
      </c>
      <c r="S30" s="39">
        <f>MAX(0,ResourceMonitor[[#This Row],[Amount Available for Resident Consumption]]-SUMIFS(ConsumptionModel[Resource Demand],ConsumptionModel[Resource],ResourceMonitor[[#This Row],[Resource]]))</f>
        <v>0</v>
      </c>
      <c r="T30" s="39">
        <f>MIN(0,ResourceMonitor[[#This Row],[Amount Available for Resident Consumption]]-SUMIFS(ConsumptionModel[Resource Demand],ConsumptionModel[Resource],ResourceMonitor[[#This Row],[Resource]]))</f>
        <v>0</v>
      </c>
      <c r="U30" s="122">
        <f>IFERROR(INDEX(#REF!,MATCH(ResourceMonitor[[#This Row],[Resource]],#REF!,0)),0)</f>
        <v>0</v>
      </c>
      <c r="V30" s="194">
        <f>IFERROR(ResourceMonitor[[#This Row],[Amount Produced]]/ResourceMonitor[[#This Row],[Production Target]],0)</f>
        <v>0</v>
      </c>
      <c r="W30" s="133" t="s">
        <v>242</v>
      </c>
      <c r="X30" s="47">
        <f>IF(ResourceMonitor[[#This Row],[Ignore shipping needs?]]="Yes",0,ROUNDUP(ResourceMonitor[[#This Row],[Production Target]]/INDEX(ShipRequirementCalculator[Cargo capacity/h (return, 50% empty)],MATCH($X$15,ShipRequirementCalculator[Ship],0)),0))</f>
        <v>0</v>
      </c>
      <c r="Y30" s="47">
        <f>IF(ResourceMonitor[[#This Row],[Ignore shipping needs?]]="Yes",0,ROUNDUP(ResourceMonitor[[#This Row],[Production Target]]/INDEX(ShipRequirementCalculator[Cargo capacity/h (return, 50% empty)],MATCH($Y$15,ShipRequirementCalculator[Ship],0)),0))</f>
        <v>0</v>
      </c>
      <c r="Z30" s="47">
        <f>IF(ResourceMonitor[[#This Row],[Ignore shipping needs?]]="Yes",0,ROUNDUP(ResourceMonitor[[#This Row],[Production Target]]/INDEX(ShipRequirementCalculator[Cargo capacity/h (return, 50% empty)],MATCH($Z$15,ShipRequirementCalculator[Ship],0)),0))</f>
        <v>0</v>
      </c>
      <c r="AA30" s="124"/>
      <c r="AD30" s="36">
        <f>ROW()</f>
        <v>30</v>
      </c>
      <c r="AE30" s="74"/>
      <c r="AF30" s="50"/>
      <c r="AG30" s="50"/>
      <c r="AH30" s="74"/>
      <c r="AI30" s="156">
        <f>IFERROR(IslandModel[[#This Row],[Quantity]]/IslandModel[[#This Row],[Target Quantity]],0)</f>
        <v>0</v>
      </c>
      <c r="AJ30" s="20" t="str">
        <f>IFERROR(INDEX(Production[Resource Produced],MATCH(IslandModel[[#This Row],[Building]],Production[Building],0)),"")</f>
        <v/>
      </c>
      <c r="AK30" s="14">
        <f>IFERROR(IslandModel[[#This Row],[Quantity]]*INDEX(Production[Production in 1h],MATCH(IslandModel[[#This Row],[Building]],Production[Building],0))*IslandModel[[#This Row],[Input Consumption Multiplier]],0)</f>
        <v>0</v>
      </c>
      <c r="AL30" s="90">
        <f>100%</f>
        <v>1</v>
      </c>
      <c r="AM30"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30" s="35" t="str">
        <f>IFERROR(INDEX(Production[Input 1],MATCH(IslandModel[[#This Row],[Building]],Production[Building],0)),"")</f>
        <v/>
      </c>
      <c r="AO30" s="18"/>
      <c r="AP30" s="41"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30"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30" s="41">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30" s="35" t="str">
        <f>IFERROR(INDEX(Production[Input 2],MATCH(IslandModel[[#This Row],[Building]],Production[Building],0)),"")</f>
        <v/>
      </c>
      <c r="AT30" s="18"/>
      <c r="AU30"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30"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30"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30" s="35" t="str">
        <f>IFERROR(INDEX(Production[Input 3],MATCH(IslandModel[[#This Row],[Building]],Production[Building],0)),"")</f>
        <v/>
      </c>
      <c r="AY30" s="18"/>
      <c r="AZ30"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30"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30"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30" s="35" t="str">
        <f>IFERROR(INDEX(Production[Input 4],MATCH(IslandModel[[#This Row],[Building]],Production[Building],0)),"")</f>
        <v/>
      </c>
      <c r="BD30" s="18"/>
      <c r="BE30"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30"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30" s="41">
        <f>IF(OR(IslandModel[[#This Row],[Assume All Inputs Are Available?]]="Yes",IslandModel[[#This Row],[Input 4 Assume Available]]="Yes"),0,IFERROR(MIN(IslandModel[[#This Row],[Input Consumption Multiplier]]*IslandModel[[#This Row],[Input 4 Needed]],IslandModel[[#This Row],[Input 4 Available]],IslandModel[[#This Row],[Input 4 Needed]]),0))</f>
        <v>0</v>
      </c>
      <c r="BH30" s="35" t="str">
        <f>IFERROR(INDEX(Production[Input 5],MATCH(IslandModel[[#This Row],[Building]],Production[Building],0)),"")</f>
        <v/>
      </c>
      <c r="BI30" s="18"/>
      <c r="BJ30"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30"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30" s="41">
        <f>IF(OR(IslandModel[[#This Row],[Assume All Inputs Are Available?]]="Yes",IslandModel[[#This Row],[Input 5 Assume Available]]="Yes"),0,IFERROR(MIN(IslandModel[[#This Row],[Input Consumption Multiplier]]*IslandModel[[#This Row],[Input 5 Needed]],IslandModel[[#This Row],[Input 5 Available]],IslandModel[[#This Row],[Input 5 Needed]]),0))</f>
        <v>0</v>
      </c>
      <c r="BM30" s="35" t="str">
        <f>IFERROR(INDEX(Production[Input 6],MATCH(IslandModel[[#This Row],[Building]],Production[Building],0)),"")</f>
        <v/>
      </c>
      <c r="BN30" s="18"/>
      <c r="BO30"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30"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30" s="41">
        <f>IF(OR(IslandModel[[#This Row],[Assume All Inputs Are Available?]]="Yes",IslandModel[[#This Row],[Input 6 Assume Available]]="Yes"),0,IFERROR(MIN(IslandModel[[#This Row],[Input Consumption Multiplier]]*IslandModel[[#This Row],[Input 6 Needed]],IslandModel[[#This Row],[Input 6 Available]],IslandModel[[#This Row],[Input 6 Needed]]),0))</f>
        <v>0</v>
      </c>
      <c r="BR30" s="35" t="str">
        <f>IFERROR(INDEX(Production[Input 7],MATCH(IslandModel[[#This Row],[Building]],Production[Building],0)),"")</f>
        <v/>
      </c>
      <c r="BS30" s="18"/>
      <c r="BT30"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30"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30" s="41">
        <f>IF(OR(IslandModel[[#This Row],[Assume All Inputs Are Available?]]="Yes",IslandModel[[#This Row],[Input 7 Assume Available]]="Yes"),0,IFERROR(MIN(IslandModel[[#This Row],[Input Consumption Multiplier]]*IslandModel[[#This Row],[Input 7 Needed]],IslandModel[[#This Row],[Input 7 Available]],IslandModel[[#This Row],[Input 7 Needed]]),0))</f>
        <v>0</v>
      </c>
      <c r="BW30" s="35" t="str">
        <f>IFERROR(INDEX(Production[Input 8],MATCH(IslandModel[[#This Row],[Building]],Production[Building],0)),"")</f>
        <v/>
      </c>
      <c r="BX30" s="18"/>
      <c r="BY30"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30"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30" s="41">
        <f>IF(OR(IslandModel[[#This Row],[Assume All Inputs Are Available?]]="Yes",IslandModel[[#This Row],[Input 8 Assume Available]]="Yes"),0,IFERROR(MIN(IslandModel[[#This Row],[Input Consumption Multiplier]]*IslandModel[[#This Row],[Input 8 Needed]],IslandModel[[#This Row],[Input 8 Available]],IslandModel[[#This Row],[Input 8 Needed]]),0))</f>
        <v>0</v>
      </c>
      <c r="CB30" s="35" t="str">
        <f>IFERROR(INDEX(Production[Input 9],MATCH(IslandModel[[#This Row],[Building]],Production[Building],0)),"")</f>
        <v/>
      </c>
      <c r="CC30" s="18"/>
      <c r="CD30"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30"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30" s="41">
        <f>IF(OR(IslandModel[[#This Row],[Assume All Inputs Are Available?]]="Yes",IslandModel[[#This Row],[Input 9 Assume Available]]="Yes"),0,IFERROR(MIN(IslandModel[[#This Row],[Input Consumption Multiplier]]*IslandModel[[#This Row],[Input 9 Needed]],IslandModel[[#This Row],[Input 9 Available]],IslandModel[[#This Row],[Input 9 Needed]]),0))</f>
        <v>0</v>
      </c>
      <c r="CG30" s="35" t="str">
        <f>IFERROR(INDEX(Production[Input 10],MATCH(IslandModel[[#This Row],[Building]],Production[Building],0)),"")</f>
        <v/>
      </c>
      <c r="CH30" s="18"/>
      <c r="CI30"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30"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30" s="41">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30" s="48">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30" s="34" t="str">
        <f>IslandModel[[#This Row],[Resource Produced]]</f>
        <v/>
      </c>
      <c r="CN30" s="42">
        <f>IslandModel[[#This Row],[Amount produced/h]]</f>
        <v>0</v>
      </c>
      <c r="CO30" s="42" t="str">
        <f>IslandModel[[#This Row],[Input 1]]</f>
        <v/>
      </c>
      <c r="CP30" s="42">
        <f>-IslandModel[[#This Row],[Input 1 Consumed]]</f>
        <v>0</v>
      </c>
      <c r="CQ30" s="42" t="str">
        <f>IslandModel[[#This Row],[Input 2]]</f>
        <v/>
      </c>
      <c r="CR30" s="42">
        <f>-IslandModel[[#This Row],[Input 2 Consumed]]</f>
        <v>0</v>
      </c>
      <c r="CS30" s="42" t="str">
        <f>IslandModel[[#This Row],[Input 3]]</f>
        <v/>
      </c>
      <c r="CT30" s="42">
        <f>-IslandModel[[#This Row],[Input 3 Consumed]]</f>
        <v>0</v>
      </c>
      <c r="CU30" s="42" t="str">
        <f>IslandModel[[#This Row],[Input 4]]</f>
        <v/>
      </c>
      <c r="CV30" s="42">
        <f>-IslandModel[[#This Row],[Input 4 Consumed]]</f>
        <v>0</v>
      </c>
      <c r="CW30" s="42" t="str">
        <f>IslandModel[[#This Row],[Input 5]]</f>
        <v/>
      </c>
      <c r="CX30" s="42">
        <f>-IslandModel[[#This Row],[Input 5 Consumed]]</f>
        <v>0</v>
      </c>
      <c r="CY30" s="42" t="str">
        <f>IslandModel[[#This Row],[Input 6]]</f>
        <v/>
      </c>
      <c r="CZ30" s="42">
        <f>-IslandModel[[#This Row],[Input 6 Consumed]]</f>
        <v>0</v>
      </c>
      <c r="DA30" s="42" t="str">
        <f>IslandModel[[#This Row],[Input 7]]</f>
        <v/>
      </c>
      <c r="DB30" s="42">
        <f>-IslandModel[[#This Row],[Input 7 Consumed]]</f>
        <v>0</v>
      </c>
      <c r="DC30" s="42" t="str">
        <f>IslandModel[[#This Row],[Input 8]]</f>
        <v/>
      </c>
      <c r="DD30" s="42">
        <f>-IslandModel[[#This Row],[Input 8 Consumed]]</f>
        <v>0</v>
      </c>
      <c r="DE30" s="42" t="str">
        <f>IslandModel[[#This Row],[Input 9]]</f>
        <v/>
      </c>
      <c r="DF30" s="42">
        <f>-IslandModel[[#This Row],[Input 9 Consumed]]</f>
        <v>0</v>
      </c>
      <c r="DG30" s="42" t="str">
        <f>IslandModel[[#This Row],[Input 10]]</f>
        <v/>
      </c>
      <c r="DH30" s="42">
        <f>-IslandModel[[#This Row],[Input 10 Consumed]]</f>
        <v>0</v>
      </c>
      <c r="DJ30" s="55" t="s">
        <v>660</v>
      </c>
      <c r="DK30" s="39">
        <f>SUM(SUMIFS(IslandModel[Resource 1 Qty],IslandModel[Resource 1],ResourceAvailable[[#This Row],[Resource]]))</f>
        <v>0</v>
      </c>
      <c r="DL30"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30" s="39">
        <f>ResourceAvailable[[#This Row],[Amount Produced]]-ResourceAvailable[[#This Row],[Amount Consumed]]</f>
        <v>0</v>
      </c>
      <c r="DN30" s="20">
        <f>MAX(0,ResourceAvailable[[#This Row],[Amount Available for Resident Consumption]]-SUMIFS(ConsumptionModel[Resource Demand],ConsumptionModel[Resource],ResourceAvailable[[#This Row],[Resource]]))</f>
        <v>0</v>
      </c>
    </row>
    <row r="31" spans="2:118" ht="21.4" thickBot="1" x14ac:dyDescent="0.7">
      <c r="B31" s="181">
        <f>ROW()</f>
        <v>31</v>
      </c>
      <c r="C31" s="182">
        <f>INDEX(ConsumptionModelInputs[Quantity],MATCH(ConsumptionModel[[#This Row],[Building]],ConsumptionModelInputs[Building],0))</f>
        <v>10</v>
      </c>
      <c r="D31" s="183" t="s">
        <v>56</v>
      </c>
      <c r="E31" s="183" t="s">
        <v>331</v>
      </c>
      <c r="F31" s="192" t="str">
        <f>IF(OR(ISBLANK(ConsumptionModel[[#This Row],[Building]]),ISBLANK(ConsumptionModel[[#This Row],[Resource]]))," - ",INDEX(Consumption[Type],MATCH(ConsumptionModel[[#This Row],[LookupValue]],Consumption[LookupValue],0)))</f>
        <v>Luxury</v>
      </c>
      <c r="G31" s="185" t="str">
        <f>IF(OR(ISBLANK(ConsumptionModel[[#This Row],[Building]]),ISBLANK(ConsumptionModel[[#This Row],[Resource]]))," - ",ConsumptionModel[[#This Row],[Building]]&amp;" - "&amp;ConsumptionModel[[#This Row],[Resource]])</f>
        <v>Colonist's House - Community</v>
      </c>
      <c r="H31" s="186">
        <f>ConsumptionModel[[#This Row],[Quantity]]*INDEX(Consumption[Consumption/person/h],MATCH(ConsumptionModel[[#This Row],[LookupValue]],Consumption[LookupValue],0))*IFERROR(INDEX(ResidentBuildings[Residents],MATCH(ConsumptionModel[[#This Row],[Building]],ResidentBuildings[Building],0)),0)</f>
        <v>0</v>
      </c>
      <c r="I31" s="186">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31" s="193">
        <f>IF(ConsumptionModel[[#This Row],[Quantity]]=0,"",IF(AND(ConsumptionModel[[#This Row],[Resource Demand]]=0,ConsumptionModel[[#This Row],[Resource Available]]&gt;0),1,MIN(1,IFERROR(ConsumptionModel[[#This Row],[Resource Available]]/ConsumptionModel[[#This Row],[Resource Demand]],0))))</f>
        <v>0</v>
      </c>
      <c r="K31" s="188">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N31" s="7"/>
      <c r="O31" s="196" t="s">
        <v>137</v>
      </c>
      <c r="P31" s="71">
        <f>SUMIFS(ResourceAvailable[Amount Produced],ResourceAvailable[Resource],ResourceMonitor[[#This Row],[Resource]])</f>
        <v>0</v>
      </c>
      <c r="Q31" s="71">
        <f>SUMIFS(ResourceAvailable[Amount Consumed],ResourceAvailable[Resource],ResourceMonitor[[#This Row],[Resource]])</f>
        <v>0</v>
      </c>
      <c r="R31" s="71">
        <f>SUMIFS(ResourceAvailable[Amount Available for Resident Consumption],ResourceAvailable[Resource],ResourceMonitor[[#This Row],[Resource]])</f>
        <v>0</v>
      </c>
      <c r="S31" s="39">
        <f>MAX(0,ResourceMonitor[[#This Row],[Amount Available for Resident Consumption]]-SUMIFS(ConsumptionModel[Resource Demand],ConsumptionModel[Resource],ResourceMonitor[[#This Row],[Resource]]))</f>
        <v>0</v>
      </c>
      <c r="T31" s="39">
        <f>MIN(0,ResourceMonitor[[#This Row],[Amount Available for Resident Consumption]]-SUMIFS(ConsumptionModel[Resource Demand],ConsumptionModel[Resource],ResourceMonitor[[#This Row],[Resource]]))</f>
        <v>-158.4</v>
      </c>
      <c r="U31" s="122">
        <f>IFERROR(INDEX(#REF!,MATCH(ResourceMonitor[[#This Row],[Resource]],#REF!,0)),0)</f>
        <v>0</v>
      </c>
      <c r="V31" s="194">
        <f>IFERROR(ResourceMonitor[[#This Row],[Amount Produced]]/ResourceMonitor[[#This Row],[Production Target]],0)</f>
        <v>0</v>
      </c>
      <c r="W31" s="133"/>
      <c r="X31" s="47">
        <f>IF(ResourceMonitor[[#This Row],[Ignore shipping needs?]]="Yes",0,ROUNDUP(ResourceMonitor[[#This Row],[Production Target]]/INDEX(ShipRequirementCalculator[Cargo capacity/h (return, 50% empty)],MATCH($X$15,ShipRequirementCalculator[Ship],0)),0))</f>
        <v>0</v>
      </c>
      <c r="Y31" s="47">
        <f>IF(ResourceMonitor[[#This Row],[Ignore shipping needs?]]="Yes",0,ROUNDUP(ResourceMonitor[[#This Row],[Production Target]]/INDEX(ShipRequirementCalculator[Cargo capacity/h (return, 50% empty)],MATCH($Y$15,ShipRequirementCalculator[Ship],0)),0))</f>
        <v>0</v>
      </c>
      <c r="Z31" s="47">
        <f>IF(ResourceMonitor[[#This Row],[Ignore shipping needs?]]="Yes",0,ROUNDUP(ResourceMonitor[[#This Row],[Production Target]]/INDEX(ShipRequirementCalculator[Cargo capacity/h (return, 50% empty)],MATCH($Z$15,ShipRequirementCalculator[Ship],0)),0))</f>
        <v>0</v>
      </c>
      <c r="AA31" s="124"/>
      <c r="AD31" s="36">
        <f>ROW()</f>
        <v>31</v>
      </c>
      <c r="AE31" s="74"/>
      <c r="AF31" s="50"/>
      <c r="AG31" s="50"/>
      <c r="AH31" s="74"/>
      <c r="AI31" s="156">
        <f>IFERROR(IslandModel[[#This Row],[Quantity]]/IslandModel[[#This Row],[Target Quantity]],0)</f>
        <v>0</v>
      </c>
      <c r="AJ31" s="20" t="str">
        <f>IFERROR(INDEX(Production[Resource Produced],MATCH(IslandModel[[#This Row],[Building]],Production[Building],0)),"")</f>
        <v/>
      </c>
      <c r="AK31" s="14">
        <f>IFERROR(IslandModel[[#This Row],[Quantity]]*INDEX(Production[Production in 1h],MATCH(IslandModel[[#This Row],[Building]],Production[Building],0))*IslandModel[[#This Row],[Input Consumption Multiplier]],0)</f>
        <v>0</v>
      </c>
      <c r="AL31" s="90">
        <f>100%</f>
        <v>1</v>
      </c>
      <c r="AM31"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31" s="35" t="str">
        <f>IFERROR(INDEX(Production[Input 1],MATCH(IslandModel[[#This Row],[Building]],Production[Building],0)),"")</f>
        <v/>
      </c>
      <c r="AO31" s="18"/>
      <c r="AP31" s="41"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31"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31" s="41">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31" s="35" t="str">
        <f>IFERROR(INDEX(Production[Input 2],MATCH(IslandModel[[#This Row],[Building]],Production[Building],0)),"")</f>
        <v/>
      </c>
      <c r="AT31" s="18"/>
      <c r="AU31"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31"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31"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31" s="35" t="str">
        <f>IFERROR(INDEX(Production[Input 3],MATCH(IslandModel[[#This Row],[Building]],Production[Building],0)),"")</f>
        <v/>
      </c>
      <c r="AY31" s="18"/>
      <c r="AZ31"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31"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31"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31" s="35" t="str">
        <f>IFERROR(INDEX(Production[Input 4],MATCH(IslandModel[[#This Row],[Building]],Production[Building],0)),"")</f>
        <v/>
      </c>
      <c r="BD31" s="18"/>
      <c r="BE31"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31"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31" s="41">
        <f>IF(OR(IslandModel[[#This Row],[Assume All Inputs Are Available?]]="Yes",IslandModel[[#This Row],[Input 4 Assume Available]]="Yes"),0,IFERROR(MIN(IslandModel[[#This Row],[Input Consumption Multiplier]]*IslandModel[[#This Row],[Input 4 Needed]],IslandModel[[#This Row],[Input 4 Available]],IslandModel[[#This Row],[Input 4 Needed]]),0))</f>
        <v>0</v>
      </c>
      <c r="BH31" s="35" t="str">
        <f>IFERROR(INDEX(Production[Input 5],MATCH(IslandModel[[#This Row],[Building]],Production[Building],0)),"")</f>
        <v/>
      </c>
      <c r="BI31" s="18"/>
      <c r="BJ31"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31"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31" s="41">
        <f>IF(OR(IslandModel[[#This Row],[Assume All Inputs Are Available?]]="Yes",IslandModel[[#This Row],[Input 5 Assume Available]]="Yes"),0,IFERROR(MIN(IslandModel[[#This Row],[Input Consumption Multiplier]]*IslandModel[[#This Row],[Input 5 Needed]],IslandModel[[#This Row],[Input 5 Available]],IslandModel[[#This Row],[Input 5 Needed]]),0))</f>
        <v>0</v>
      </c>
      <c r="BM31" s="35" t="str">
        <f>IFERROR(INDEX(Production[Input 6],MATCH(IslandModel[[#This Row],[Building]],Production[Building],0)),"")</f>
        <v/>
      </c>
      <c r="BN31" s="18"/>
      <c r="BO31"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31"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31" s="41">
        <f>IF(OR(IslandModel[[#This Row],[Assume All Inputs Are Available?]]="Yes",IslandModel[[#This Row],[Input 6 Assume Available]]="Yes"),0,IFERROR(MIN(IslandModel[[#This Row],[Input Consumption Multiplier]]*IslandModel[[#This Row],[Input 6 Needed]],IslandModel[[#This Row],[Input 6 Available]],IslandModel[[#This Row],[Input 6 Needed]]),0))</f>
        <v>0</v>
      </c>
      <c r="BR31" s="35" t="str">
        <f>IFERROR(INDEX(Production[Input 7],MATCH(IslandModel[[#This Row],[Building]],Production[Building],0)),"")</f>
        <v/>
      </c>
      <c r="BS31" s="18"/>
      <c r="BT31"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31"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31" s="41">
        <f>IF(OR(IslandModel[[#This Row],[Assume All Inputs Are Available?]]="Yes",IslandModel[[#This Row],[Input 7 Assume Available]]="Yes"),0,IFERROR(MIN(IslandModel[[#This Row],[Input Consumption Multiplier]]*IslandModel[[#This Row],[Input 7 Needed]],IslandModel[[#This Row],[Input 7 Available]],IslandModel[[#This Row],[Input 7 Needed]]),0))</f>
        <v>0</v>
      </c>
      <c r="BW31" s="35" t="str">
        <f>IFERROR(INDEX(Production[Input 8],MATCH(IslandModel[[#This Row],[Building]],Production[Building],0)),"")</f>
        <v/>
      </c>
      <c r="BX31" s="18"/>
      <c r="BY31"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31"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31" s="41">
        <f>IF(OR(IslandModel[[#This Row],[Assume All Inputs Are Available?]]="Yes",IslandModel[[#This Row],[Input 8 Assume Available]]="Yes"),0,IFERROR(MIN(IslandModel[[#This Row],[Input Consumption Multiplier]]*IslandModel[[#This Row],[Input 8 Needed]],IslandModel[[#This Row],[Input 8 Available]],IslandModel[[#This Row],[Input 8 Needed]]),0))</f>
        <v>0</v>
      </c>
      <c r="CB31" s="35" t="str">
        <f>IFERROR(INDEX(Production[Input 9],MATCH(IslandModel[[#This Row],[Building]],Production[Building],0)),"")</f>
        <v/>
      </c>
      <c r="CC31" s="18"/>
      <c r="CD31"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31"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31" s="41">
        <f>IF(OR(IslandModel[[#This Row],[Assume All Inputs Are Available?]]="Yes",IslandModel[[#This Row],[Input 9 Assume Available]]="Yes"),0,IFERROR(MIN(IslandModel[[#This Row],[Input Consumption Multiplier]]*IslandModel[[#This Row],[Input 9 Needed]],IslandModel[[#This Row],[Input 9 Available]],IslandModel[[#This Row],[Input 9 Needed]]),0))</f>
        <v>0</v>
      </c>
      <c r="CG31" s="35" t="str">
        <f>IFERROR(INDEX(Production[Input 10],MATCH(IslandModel[[#This Row],[Building]],Production[Building],0)),"")</f>
        <v/>
      </c>
      <c r="CH31" s="18"/>
      <c r="CI31"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31"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31" s="41">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31" s="48">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31" s="34" t="str">
        <f>IslandModel[[#This Row],[Resource Produced]]</f>
        <v/>
      </c>
      <c r="CN31" s="42">
        <f>IslandModel[[#This Row],[Amount produced/h]]</f>
        <v>0</v>
      </c>
      <c r="CO31" s="42" t="str">
        <f>IslandModel[[#This Row],[Input 1]]</f>
        <v/>
      </c>
      <c r="CP31" s="42">
        <f>-IslandModel[[#This Row],[Input 1 Consumed]]</f>
        <v>0</v>
      </c>
      <c r="CQ31" s="42" t="str">
        <f>IslandModel[[#This Row],[Input 2]]</f>
        <v/>
      </c>
      <c r="CR31" s="42">
        <f>-IslandModel[[#This Row],[Input 2 Consumed]]</f>
        <v>0</v>
      </c>
      <c r="CS31" s="42" t="str">
        <f>IslandModel[[#This Row],[Input 3]]</f>
        <v/>
      </c>
      <c r="CT31" s="42">
        <f>-IslandModel[[#This Row],[Input 3 Consumed]]</f>
        <v>0</v>
      </c>
      <c r="CU31" s="42" t="str">
        <f>IslandModel[[#This Row],[Input 4]]</f>
        <v/>
      </c>
      <c r="CV31" s="42">
        <f>-IslandModel[[#This Row],[Input 4 Consumed]]</f>
        <v>0</v>
      </c>
      <c r="CW31" s="42" t="str">
        <f>IslandModel[[#This Row],[Input 5]]</f>
        <v/>
      </c>
      <c r="CX31" s="42">
        <f>-IslandModel[[#This Row],[Input 5 Consumed]]</f>
        <v>0</v>
      </c>
      <c r="CY31" s="42" t="str">
        <f>IslandModel[[#This Row],[Input 6]]</f>
        <v/>
      </c>
      <c r="CZ31" s="42">
        <f>-IslandModel[[#This Row],[Input 6 Consumed]]</f>
        <v>0</v>
      </c>
      <c r="DA31" s="42" t="str">
        <f>IslandModel[[#This Row],[Input 7]]</f>
        <v/>
      </c>
      <c r="DB31" s="42">
        <f>-IslandModel[[#This Row],[Input 7 Consumed]]</f>
        <v>0</v>
      </c>
      <c r="DC31" s="42" t="str">
        <f>IslandModel[[#This Row],[Input 8]]</f>
        <v/>
      </c>
      <c r="DD31" s="42">
        <f>-IslandModel[[#This Row],[Input 8 Consumed]]</f>
        <v>0</v>
      </c>
      <c r="DE31" s="42" t="str">
        <f>IslandModel[[#This Row],[Input 9]]</f>
        <v/>
      </c>
      <c r="DF31" s="42">
        <f>-IslandModel[[#This Row],[Input 9 Consumed]]</f>
        <v>0</v>
      </c>
      <c r="DG31" s="42" t="str">
        <f>IslandModel[[#This Row],[Input 10]]</f>
        <v/>
      </c>
      <c r="DH31" s="42">
        <f>-IslandModel[[#This Row],[Input 10 Consumed]]</f>
        <v>0</v>
      </c>
      <c r="DJ31" t="s">
        <v>376</v>
      </c>
      <c r="DK31" s="39">
        <f>SUM(SUMIFS(IslandModel[Resource 1 Qty],IslandModel[Resource 1],ResourceAvailable[[#This Row],[Resource]]))</f>
        <v>0</v>
      </c>
      <c r="DL31"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31" s="39">
        <f>ResourceAvailable[[#This Row],[Amount Produced]]-ResourceAvailable[[#This Row],[Amount Consumed]]</f>
        <v>0</v>
      </c>
      <c r="DN31" s="20">
        <f>MAX(0,ResourceAvailable[[#This Row],[Amount Available for Resident Consumption]]-SUMIFS(ConsumptionModel[Resource Demand],ConsumptionModel[Resource],ResourceAvailable[[#This Row],[Resource]]))</f>
        <v>0</v>
      </c>
    </row>
    <row r="32" spans="2:118" ht="21" x14ac:dyDescent="0.65">
      <c r="B32" s="170">
        <f>ROW()</f>
        <v>32</v>
      </c>
      <c r="C32" s="171">
        <f>INDEX(ConsumptionModelInputs[Quantity],MATCH(ConsumptionModel[[#This Row],[Building]],ConsumptionModelInputs[Building],0))</f>
        <v>10</v>
      </c>
      <c r="D32" s="172" t="s">
        <v>57</v>
      </c>
      <c r="E32" s="172" t="s">
        <v>330</v>
      </c>
      <c r="F32" s="189" t="str">
        <f>IF(OR(ISBLANK(ConsumptionModel[[#This Row],[Building]]),ISBLANK(ConsumptionModel[[#This Row],[Resource]]))," - ",INDEX(Consumption[Type],MATCH(ConsumptionModel[[#This Row],[LookupValue]],Consumption[LookupValue],0)))</f>
        <v>Need</v>
      </c>
      <c r="G32" s="174" t="str">
        <f>IF(OR(ISBLANK(ConsumptionModel[[#This Row],[Building]]),ISBLANK(ConsumptionModel[[#This Row],[Resource]]))," - ",ConsumptionModel[[#This Row],[Building]]&amp;" - "&amp;ConsumptionModel[[#This Row],[Resource]])</f>
        <v>Townsmen's House - Water</v>
      </c>
      <c r="H32" s="175">
        <f>ConsumptionModel[[#This Row],[Quantity]]*INDEX(Consumption[Consumption/person/h],MATCH(ConsumptionModel[[#This Row],[LookupValue]],Consumption[LookupValue],0))*IFERROR(INDEX(ResidentBuildings[Residents],MATCH(ConsumptionModel[[#This Row],[Building]],ResidentBuildings[Building],0)),0)</f>
        <v>0</v>
      </c>
      <c r="I32" s="175">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32" s="190">
        <f>IF(ConsumptionModel[[#This Row],[Quantity]]=0,"",IF(AND(ConsumptionModel[[#This Row],[Resource Demand]]=0,ConsumptionModel[[#This Row],[Resource Available]]&gt;0),1,MIN(1,IFERROR(ConsumptionModel[[#This Row],[Resource Available]]/ConsumptionModel[[#This Row],[Resource Demand]],0))))</f>
        <v>0</v>
      </c>
      <c r="K32" s="177">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32" s="196" t="s">
        <v>146</v>
      </c>
      <c r="P32" s="71">
        <f>SUMIFS(ResourceAvailable[Amount Produced],ResourceAvailable[Resource],ResourceMonitor[[#This Row],[Resource]])</f>
        <v>0</v>
      </c>
      <c r="Q32" s="71">
        <f>SUMIFS(ResourceAvailable[Amount Consumed],ResourceAvailable[Resource],ResourceMonitor[[#This Row],[Resource]])</f>
        <v>0</v>
      </c>
      <c r="R32" s="71">
        <f>SUMIFS(ResourceAvailable[Amount Available for Resident Consumption],ResourceAvailable[Resource],ResourceMonitor[[#This Row],[Resource]])</f>
        <v>0</v>
      </c>
      <c r="S32" s="39">
        <f>MAX(0,ResourceMonitor[[#This Row],[Amount Available for Resident Consumption]]-SUMIFS(ConsumptionModel[Resource Demand],ConsumptionModel[Resource],ResourceMonitor[[#This Row],[Resource]]))</f>
        <v>0</v>
      </c>
      <c r="T32" s="39">
        <f>MIN(0,ResourceMonitor[[#This Row],[Amount Available for Resident Consumption]]-SUMIFS(ConsumptionModel[Resource Demand],ConsumptionModel[Resource],ResourceMonitor[[#This Row],[Resource]]))</f>
        <v>-316.8</v>
      </c>
      <c r="U32" s="122">
        <f>IFERROR(INDEX(#REF!,MATCH(ResourceMonitor[[#This Row],[Resource]],#REF!,0)),0)</f>
        <v>0</v>
      </c>
      <c r="V32" s="194">
        <f>IFERROR(ResourceMonitor[[#This Row],[Amount Produced]]/ResourceMonitor[[#This Row],[Production Target]],0)</f>
        <v>0</v>
      </c>
      <c r="W32" s="133"/>
      <c r="X32" s="47">
        <f>IF(ResourceMonitor[[#This Row],[Ignore shipping needs?]]="Yes",0,ROUNDUP(ResourceMonitor[[#This Row],[Production Target]]/INDEX(ShipRequirementCalculator[Cargo capacity/h (return, 50% empty)],MATCH($X$15,ShipRequirementCalculator[Ship],0)),0))</f>
        <v>0</v>
      </c>
      <c r="Y32" s="47">
        <f>IF(ResourceMonitor[[#This Row],[Ignore shipping needs?]]="Yes",0,ROUNDUP(ResourceMonitor[[#This Row],[Production Target]]/INDEX(ShipRequirementCalculator[Cargo capacity/h (return, 50% empty)],MATCH($Y$15,ShipRequirementCalculator[Ship],0)),0))</f>
        <v>0</v>
      </c>
      <c r="Z32" s="47">
        <f>IF(ResourceMonitor[[#This Row],[Ignore shipping needs?]]="Yes",0,ROUNDUP(ResourceMonitor[[#This Row],[Production Target]]/INDEX(ShipRequirementCalculator[Cargo capacity/h (return, 50% empty)],MATCH($Z$15,ShipRequirementCalculator[Ship],0)),0))</f>
        <v>0</v>
      </c>
      <c r="AA32" s="124"/>
      <c r="AD32" s="36">
        <f>ROW()</f>
        <v>32</v>
      </c>
      <c r="AE32" s="74"/>
      <c r="AF32" s="50"/>
      <c r="AG32" s="50"/>
      <c r="AH32" s="74"/>
      <c r="AI32" s="156">
        <f>IFERROR(IslandModel[[#This Row],[Quantity]]/IslandModel[[#This Row],[Target Quantity]],0)</f>
        <v>0</v>
      </c>
      <c r="AJ32" s="20" t="str">
        <f>IFERROR(INDEX(Production[Resource Produced],MATCH(IslandModel[[#This Row],[Building]],Production[Building],0)),"")</f>
        <v/>
      </c>
      <c r="AK32" s="14">
        <f>IFERROR(IslandModel[[#This Row],[Quantity]]*INDEX(Production[Production in 1h],MATCH(IslandModel[[#This Row],[Building]],Production[Building],0))*IslandModel[[#This Row],[Input Consumption Multiplier]],0)</f>
        <v>0</v>
      </c>
      <c r="AL32" s="90">
        <f>100%</f>
        <v>1</v>
      </c>
      <c r="AM32"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32" s="35" t="str">
        <f>IFERROR(INDEX(Production[Input 1],MATCH(IslandModel[[#This Row],[Building]],Production[Building],0)),"")</f>
        <v/>
      </c>
      <c r="AO32" s="18"/>
      <c r="AP32" s="41"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32"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32" s="41">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32" s="35" t="str">
        <f>IFERROR(INDEX(Production[Input 2],MATCH(IslandModel[[#This Row],[Building]],Production[Building],0)),"")</f>
        <v/>
      </c>
      <c r="AT32" s="18"/>
      <c r="AU32"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32"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32"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32" s="35" t="str">
        <f>IFERROR(INDEX(Production[Input 3],MATCH(IslandModel[[#This Row],[Building]],Production[Building],0)),"")</f>
        <v/>
      </c>
      <c r="AY32" s="18"/>
      <c r="AZ32"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32"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32"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32" s="35" t="str">
        <f>IFERROR(INDEX(Production[Input 4],MATCH(IslandModel[[#This Row],[Building]],Production[Building],0)),"")</f>
        <v/>
      </c>
      <c r="BD32" s="18"/>
      <c r="BE32"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32"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32" s="41">
        <f>IF(OR(IslandModel[[#This Row],[Assume All Inputs Are Available?]]="Yes",IslandModel[[#This Row],[Input 4 Assume Available]]="Yes"),0,IFERROR(MIN(IslandModel[[#This Row],[Input Consumption Multiplier]]*IslandModel[[#This Row],[Input 4 Needed]],IslandModel[[#This Row],[Input 4 Available]],IslandModel[[#This Row],[Input 4 Needed]]),0))</f>
        <v>0</v>
      </c>
      <c r="BH32" s="35" t="str">
        <f>IFERROR(INDEX(Production[Input 5],MATCH(IslandModel[[#This Row],[Building]],Production[Building],0)),"")</f>
        <v/>
      </c>
      <c r="BI32" s="18"/>
      <c r="BJ32"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32"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32" s="41">
        <f>IF(OR(IslandModel[[#This Row],[Assume All Inputs Are Available?]]="Yes",IslandModel[[#This Row],[Input 5 Assume Available]]="Yes"),0,IFERROR(MIN(IslandModel[[#This Row],[Input Consumption Multiplier]]*IslandModel[[#This Row],[Input 5 Needed]],IslandModel[[#This Row],[Input 5 Available]],IslandModel[[#This Row],[Input 5 Needed]]),0))</f>
        <v>0</v>
      </c>
      <c r="BM32" s="35" t="str">
        <f>IFERROR(INDEX(Production[Input 6],MATCH(IslandModel[[#This Row],[Building]],Production[Building],0)),"")</f>
        <v/>
      </c>
      <c r="BN32" s="18"/>
      <c r="BO32"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32"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32" s="41">
        <f>IF(OR(IslandModel[[#This Row],[Assume All Inputs Are Available?]]="Yes",IslandModel[[#This Row],[Input 6 Assume Available]]="Yes"),0,IFERROR(MIN(IslandModel[[#This Row],[Input Consumption Multiplier]]*IslandModel[[#This Row],[Input 6 Needed]],IslandModel[[#This Row],[Input 6 Available]],IslandModel[[#This Row],[Input 6 Needed]]),0))</f>
        <v>0</v>
      </c>
      <c r="BR32" s="35" t="str">
        <f>IFERROR(INDEX(Production[Input 7],MATCH(IslandModel[[#This Row],[Building]],Production[Building],0)),"")</f>
        <v/>
      </c>
      <c r="BS32" s="18"/>
      <c r="BT32"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32"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32" s="41">
        <f>IF(OR(IslandModel[[#This Row],[Assume All Inputs Are Available?]]="Yes",IslandModel[[#This Row],[Input 7 Assume Available]]="Yes"),0,IFERROR(MIN(IslandModel[[#This Row],[Input Consumption Multiplier]]*IslandModel[[#This Row],[Input 7 Needed]],IslandModel[[#This Row],[Input 7 Available]],IslandModel[[#This Row],[Input 7 Needed]]),0))</f>
        <v>0</v>
      </c>
      <c r="BW32" s="35" t="str">
        <f>IFERROR(INDEX(Production[Input 8],MATCH(IslandModel[[#This Row],[Building]],Production[Building],0)),"")</f>
        <v/>
      </c>
      <c r="BX32" s="18"/>
      <c r="BY32"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32"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32" s="41">
        <f>IF(OR(IslandModel[[#This Row],[Assume All Inputs Are Available?]]="Yes",IslandModel[[#This Row],[Input 8 Assume Available]]="Yes"),0,IFERROR(MIN(IslandModel[[#This Row],[Input Consumption Multiplier]]*IslandModel[[#This Row],[Input 8 Needed]],IslandModel[[#This Row],[Input 8 Available]],IslandModel[[#This Row],[Input 8 Needed]]),0))</f>
        <v>0</v>
      </c>
      <c r="CB32" s="35" t="str">
        <f>IFERROR(INDEX(Production[Input 9],MATCH(IslandModel[[#This Row],[Building]],Production[Building],0)),"")</f>
        <v/>
      </c>
      <c r="CC32" s="18"/>
      <c r="CD32"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32"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32" s="41">
        <f>IF(OR(IslandModel[[#This Row],[Assume All Inputs Are Available?]]="Yes",IslandModel[[#This Row],[Input 9 Assume Available]]="Yes"),0,IFERROR(MIN(IslandModel[[#This Row],[Input Consumption Multiplier]]*IslandModel[[#This Row],[Input 9 Needed]],IslandModel[[#This Row],[Input 9 Available]],IslandModel[[#This Row],[Input 9 Needed]]),0))</f>
        <v>0</v>
      </c>
      <c r="CG32" s="35" t="str">
        <f>IFERROR(INDEX(Production[Input 10],MATCH(IslandModel[[#This Row],[Building]],Production[Building],0)),"")</f>
        <v/>
      </c>
      <c r="CH32" s="18"/>
      <c r="CI32"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32"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32" s="41">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32" s="48">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32" s="34" t="str">
        <f>IslandModel[[#This Row],[Resource Produced]]</f>
        <v/>
      </c>
      <c r="CN32" s="42">
        <f>IslandModel[[#This Row],[Amount produced/h]]</f>
        <v>0</v>
      </c>
      <c r="CO32" s="42" t="str">
        <f>IslandModel[[#This Row],[Input 1]]</f>
        <v/>
      </c>
      <c r="CP32" s="42">
        <f>-IslandModel[[#This Row],[Input 1 Consumed]]</f>
        <v>0</v>
      </c>
      <c r="CQ32" s="42" t="str">
        <f>IslandModel[[#This Row],[Input 2]]</f>
        <v/>
      </c>
      <c r="CR32" s="42">
        <f>-IslandModel[[#This Row],[Input 2 Consumed]]</f>
        <v>0</v>
      </c>
      <c r="CS32" s="42" t="str">
        <f>IslandModel[[#This Row],[Input 3]]</f>
        <v/>
      </c>
      <c r="CT32" s="42">
        <f>-IslandModel[[#This Row],[Input 3 Consumed]]</f>
        <v>0</v>
      </c>
      <c r="CU32" s="42" t="str">
        <f>IslandModel[[#This Row],[Input 4]]</f>
        <v/>
      </c>
      <c r="CV32" s="42">
        <f>-IslandModel[[#This Row],[Input 4 Consumed]]</f>
        <v>0</v>
      </c>
      <c r="CW32" s="42" t="str">
        <f>IslandModel[[#This Row],[Input 5]]</f>
        <v/>
      </c>
      <c r="CX32" s="42">
        <f>-IslandModel[[#This Row],[Input 5 Consumed]]</f>
        <v>0</v>
      </c>
      <c r="CY32" s="42" t="str">
        <f>IslandModel[[#This Row],[Input 6]]</f>
        <v/>
      </c>
      <c r="CZ32" s="42">
        <f>-IslandModel[[#This Row],[Input 6 Consumed]]</f>
        <v>0</v>
      </c>
      <c r="DA32" s="42" t="str">
        <f>IslandModel[[#This Row],[Input 7]]</f>
        <v/>
      </c>
      <c r="DB32" s="42">
        <f>-IslandModel[[#This Row],[Input 7 Consumed]]</f>
        <v>0</v>
      </c>
      <c r="DC32" s="42" t="str">
        <f>IslandModel[[#This Row],[Input 8]]</f>
        <v/>
      </c>
      <c r="DD32" s="42">
        <f>-IslandModel[[#This Row],[Input 8 Consumed]]</f>
        <v>0</v>
      </c>
      <c r="DE32" s="42" t="str">
        <f>IslandModel[[#This Row],[Input 9]]</f>
        <v/>
      </c>
      <c r="DF32" s="42">
        <f>-IslandModel[[#This Row],[Input 9 Consumed]]</f>
        <v>0</v>
      </c>
      <c r="DG32" s="42" t="str">
        <f>IslandModel[[#This Row],[Input 10]]</f>
        <v/>
      </c>
      <c r="DH32" s="42">
        <f>-IslandModel[[#This Row],[Input 10 Consumed]]</f>
        <v>0</v>
      </c>
      <c r="DJ32" s="55" t="s">
        <v>389</v>
      </c>
      <c r="DK32" s="39">
        <f>SUM(SUMIFS(IslandModel[Resource 1 Qty],IslandModel[Resource 1],ResourceAvailable[[#This Row],[Resource]]))</f>
        <v>0</v>
      </c>
      <c r="DL32"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32" s="39">
        <f>ResourceAvailable[[#This Row],[Amount Produced]]-ResourceAvailable[[#This Row],[Amount Consumed]]</f>
        <v>0</v>
      </c>
      <c r="DN32" s="20">
        <f>MAX(0,ResourceAvailable[[#This Row],[Amount Available for Resident Consumption]]-SUMIFS(ConsumptionModel[Resource Demand],ConsumptionModel[Resource],ResourceAvailable[[#This Row],[Resource]]))</f>
        <v>0</v>
      </c>
    </row>
    <row r="33" spans="2:118" ht="21" x14ac:dyDescent="0.65">
      <c r="B33" s="178">
        <f>ROW()</f>
        <v>33</v>
      </c>
      <c r="C33" s="70">
        <f>INDEX(ConsumptionModelInputs[Quantity],MATCH(ConsumptionModel[[#This Row],[Building]],ConsumptionModelInputs[Building],0))</f>
        <v>10</v>
      </c>
      <c r="D33" s="179" t="s">
        <v>57</v>
      </c>
      <c r="E33" s="179" t="s">
        <v>331</v>
      </c>
      <c r="F33" s="191" t="str">
        <f>IF(OR(ISBLANK(ConsumptionModel[[#This Row],[Building]]),ISBLANK(ConsumptionModel[[#This Row],[Resource]]))," - ",INDEX(Consumption[Type],MATCH(ConsumptionModel[[#This Row],[LookupValue]],Consumption[LookupValue],0)))</f>
        <v>Need</v>
      </c>
      <c r="G33" s="61" t="str">
        <f>IF(OR(ISBLANK(ConsumptionModel[[#This Row],[Building]]),ISBLANK(ConsumptionModel[[#This Row],[Resource]]))," - ",ConsumptionModel[[#This Row],[Building]]&amp;" - "&amp;ConsumptionModel[[#This Row],[Resource]])</f>
        <v>Townsmen's House - Community</v>
      </c>
      <c r="H33" s="62">
        <f>ConsumptionModel[[#This Row],[Quantity]]*INDEX(Consumption[Consumption/person/h],MATCH(ConsumptionModel[[#This Row],[LookupValue]],Consumption[LookupValue],0))*IFERROR(INDEX(ResidentBuildings[Residents],MATCH(ConsumptionModel[[#This Row],[Building]],ResidentBuildings[Building],0)),0)</f>
        <v>0</v>
      </c>
      <c r="I33"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33" s="57">
        <f>IF(ConsumptionModel[[#This Row],[Quantity]]=0,"",IF(AND(ConsumptionModel[[#This Row],[Resource Demand]]=0,ConsumptionModel[[#This Row],[Resource Available]]&gt;0),1,MIN(1,IFERROR(ConsumptionModel[[#This Row],[Resource Available]]/ConsumptionModel[[#This Row],[Resource Demand]],0))))</f>
        <v>0</v>
      </c>
      <c r="K33"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33" s="196" t="s">
        <v>167</v>
      </c>
      <c r="P33" s="71">
        <f>SUMIFS(ResourceAvailable[Amount Produced],ResourceAvailable[Resource],ResourceMonitor[[#This Row],[Resource]])</f>
        <v>0</v>
      </c>
      <c r="Q33" s="71">
        <f>SUMIFS(ResourceAvailable[Amount Consumed],ResourceAvailable[Resource],ResourceMonitor[[#This Row],[Resource]])</f>
        <v>0</v>
      </c>
      <c r="R33" s="71">
        <f>SUMIFS(ResourceAvailable[Amount Available for Resident Consumption],ResourceAvailable[Resource],ResourceMonitor[[#This Row],[Resource]])</f>
        <v>0</v>
      </c>
      <c r="S33" s="39">
        <f>MAX(0,ResourceMonitor[[#This Row],[Amount Available for Resident Consumption]]-SUMIFS(ConsumptionModel[Resource Demand],ConsumptionModel[Resource],ResourceMonitor[[#This Row],[Resource]]))</f>
        <v>0</v>
      </c>
      <c r="T33" s="39">
        <f>MIN(0,ResourceMonitor[[#This Row],[Amount Available for Resident Consumption]]-SUMIFS(ConsumptionModel[Resource Demand],ConsumptionModel[Resource],ResourceMonitor[[#This Row],[Resource]]))</f>
        <v>-633.6</v>
      </c>
      <c r="U33" s="122">
        <f>IFERROR(INDEX(#REF!,MATCH(ResourceMonitor[[#This Row],[Resource]],#REF!,0)),0)</f>
        <v>0</v>
      </c>
      <c r="V33" s="194">
        <f>IFERROR(ResourceMonitor[[#This Row],[Amount Produced]]/ResourceMonitor[[#This Row],[Production Target]],0)</f>
        <v>0</v>
      </c>
      <c r="W33" s="133"/>
      <c r="X33" s="47">
        <f>IF(ResourceMonitor[[#This Row],[Ignore shipping needs?]]="Yes",0,ROUNDUP(ResourceMonitor[[#This Row],[Production Target]]/INDEX(ShipRequirementCalculator[Cargo capacity/h (return, 50% empty)],MATCH($X$15,ShipRequirementCalculator[Ship],0)),0))</f>
        <v>0</v>
      </c>
      <c r="Y33" s="47">
        <f>IF(ResourceMonitor[[#This Row],[Ignore shipping needs?]]="Yes",0,ROUNDUP(ResourceMonitor[[#This Row],[Production Target]]/INDEX(ShipRequirementCalculator[Cargo capacity/h (return, 50% empty)],MATCH($Y$15,ShipRequirementCalculator[Ship],0)),0))</f>
        <v>0</v>
      </c>
      <c r="Z33" s="47">
        <f>IF(ResourceMonitor[[#This Row],[Ignore shipping needs?]]="Yes",0,ROUNDUP(ResourceMonitor[[#This Row],[Production Target]]/INDEX(ShipRequirementCalculator[Cargo capacity/h (return, 50% empty)],MATCH($Z$15,ShipRequirementCalculator[Ship],0)),0))</f>
        <v>0</v>
      </c>
      <c r="AA33" s="124"/>
      <c r="AD33" s="36">
        <f>ROW()</f>
        <v>33</v>
      </c>
      <c r="AE33" s="74"/>
      <c r="AF33" s="50"/>
      <c r="AG33" s="50"/>
      <c r="AH33" s="74"/>
      <c r="AI33" s="156">
        <f>IFERROR(IslandModel[[#This Row],[Quantity]]/IslandModel[[#This Row],[Target Quantity]],0)</f>
        <v>0</v>
      </c>
      <c r="AJ33" s="20" t="str">
        <f>IFERROR(INDEX(Production[Resource Produced],MATCH(IslandModel[[#This Row],[Building]],Production[Building],0)),"")</f>
        <v/>
      </c>
      <c r="AK33" s="14">
        <f>IFERROR(IslandModel[[#This Row],[Quantity]]*INDEX(Production[Production in 1h],MATCH(IslandModel[[#This Row],[Building]],Production[Building],0))*IslandModel[[#This Row],[Input Consumption Multiplier]],0)</f>
        <v>0</v>
      </c>
      <c r="AL33" s="90">
        <f>100%</f>
        <v>1</v>
      </c>
      <c r="AM33"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33" s="35" t="str">
        <f>IFERROR(INDEX(Production[Input 1],MATCH(IslandModel[[#This Row],[Building]],Production[Building],0)),"")</f>
        <v/>
      </c>
      <c r="AO33" s="18"/>
      <c r="AP33" s="41"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33"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33" s="41">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33" s="35" t="str">
        <f>IFERROR(INDEX(Production[Input 2],MATCH(IslandModel[[#This Row],[Building]],Production[Building],0)),"")</f>
        <v/>
      </c>
      <c r="AT33" s="18"/>
      <c r="AU33"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33"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33"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33" s="35" t="str">
        <f>IFERROR(INDEX(Production[Input 3],MATCH(IslandModel[[#This Row],[Building]],Production[Building],0)),"")</f>
        <v/>
      </c>
      <c r="AY33" s="18"/>
      <c r="AZ33"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33"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33"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33" s="35" t="str">
        <f>IFERROR(INDEX(Production[Input 4],MATCH(IslandModel[[#This Row],[Building]],Production[Building],0)),"")</f>
        <v/>
      </c>
      <c r="BD33" s="18"/>
      <c r="BE33"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33"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33" s="41">
        <f>IF(OR(IslandModel[[#This Row],[Assume All Inputs Are Available?]]="Yes",IslandModel[[#This Row],[Input 4 Assume Available]]="Yes"),0,IFERROR(MIN(IslandModel[[#This Row],[Input Consumption Multiplier]]*IslandModel[[#This Row],[Input 4 Needed]],IslandModel[[#This Row],[Input 4 Available]],IslandModel[[#This Row],[Input 4 Needed]]),0))</f>
        <v>0</v>
      </c>
      <c r="BH33" s="35" t="str">
        <f>IFERROR(INDEX(Production[Input 5],MATCH(IslandModel[[#This Row],[Building]],Production[Building],0)),"")</f>
        <v/>
      </c>
      <c r="BI33" s="18"/>
      <c r="BJ33"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33"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33" s="41">
        <f>IF(OR(IslandModel[[#This Row],[Assume All Inputs Are Available?]]="Yes",IslandModel[[#This Row],[Input 5 Assume Available]]="Yes"),0,IFERROR(MIN(IslandModel[[#This Row],[Input Consumption Multiplier]]*IslandModel[[#This Row],[Input 5 Needed]],IslandModel[[#This Row],[Input 5 Available]],IslandModel[[#This Row],[Input 5 Needed]]),0))</f>
        <v>0</v>
      </c>
      <c r="BM33" s="35" t="str">
        <f>IFERROR(INDEX(Production[Input 6],MATCH(IslandModel[[#This Row],[Building]],Production[Building],0)),"")</f>
        <v/>
      </c>
      <c r="BN33" s="18"/>
      <c r="BO33"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33"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33" s="41">
        <f>IF(OR(IslandModel[[#This Row],[Assume All Inputs Are Available?]]="Yes",IslandModel[[#This Row],[Input 6 Assume Available]]="Yes"),0,IFERROR(MIN(IslandModel[[#This Row],[Input Consumption Multiplier]]*IslandModel[[#This Row],[Input 6 Needed]],IslandModel[[#This Row],[Input 6 Available]],IslandModel[[#This Row],[Input 6 Needed]]),0))</f>
        <v>0</v>
      </c>
      <c r="BR33" s="35" t="str">
        <f>IFERROR(INDEX(Production[Input 7],MATCH(IslandModel[[#This Row],[Building]],Production[Building],0)),"")</f>
        <v/>
      </c>
      <c r="BS33" s="18"/>
      <c r="BT33"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33"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33" s="41">
        <f>IF(OR(IslandModel[[#This Row],[Assume All Inputs Are Available?]]="Yes",IslandModel[[#This Row],[Input 7 Assume Available]]="Yes"),0,IFERROR(MIN(IslandModel[[#This Row],[Input Consumption Multiplier]]*IslandModel[[#This Row],[Input 7 Needed]],IslandModel[[#This Row],[Input 7 Available]],IslandModel[[#This Row],[Input 7 Needed]]),0))</f>
        <v>0</v>
      </c>
      <c r="BW33" s="35" t="str">
        <f>IFERROR(INDEX(Production[Input 8],MATCH(IslandModel[[#This Row],[Building]],Production[Building],0)),"")</f>
        <v/>
      </c>
      <c r="BX33" s="18"/>
      <c r="BY33"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33"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33" s="41">
        <f>IF(OR(IslandModel[[#This Row],[Assume All Inputs Are Available?]]="Yes",IslandModel[[#This Row],[Input 8 Assume Available]]="Yes"),0,IFERROR(MIN(IslandModel[[#This Row],[Input Consumption Multiplier]]*IslandModel[[#This Row],[Input 8 Needed]],IslandModel[[#This Row],[Input 8 Available]],IslandModel[[#This Row],[Input 8 Needed]]),0))</f>
        <v>0</v>
      </c>
      <c r="CB33" s="35" t="str">
        <f>IFERROR(INDEX(Production[Input 9],MATCH(IslandModel[[#This Row],[Building]],Production[Building],0)),"")</f>
        <v/>
      </c>
      <c r="CC33" s="18"/>
      <c r="CD33"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33"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33" s="41">
        <f>IF(OR(IslandModel[[#This Row],[Assume All Inputs Are Available?]]="Yes",IslandModel[[#This Row],[Input 9 Assume Available]]="Yes"),0,IFERROR(MIN(IslandModel[[#This Row],[Input Consumption Multiplier]]*IslandModel[[#This Row],[Input 9 Needed]],IslandModel[[#This Row],[Input 9 Available]],IslandModel[[#This Row],[Input 9 Needed]]),0))</f>
        <v>0</v>
      </c>
      <c r="CG33" s="35" t="str">
        <f>IFERROR(INDEX(Production[Input 10],MATCH(IslandModel[[#This Row],[Building]],Production[Building],0)),"")</f>
        <v/>
      </c>
      <c r="CH33" s="18"/>
      <c r="CI33"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33"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33" s="41">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33" s="48">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33" s="34" t="str">
        <f>IslandModel[[#This Row],[Resource Produced]]</f>
        <v/>
      </c>
      <c r="CN33" s="42">
        <f>IslandModel[[#This Row],[Amount produced/h]]</f>
        <v>0</v>
      </c>
      <c r="CO33" s="42" t="str">
        <f>IslandModel[[#This Row],[Input 1]]</f>
        <v/>
      </c>
      <c r="CP33" s="42">
        <f>-IslandModel[[#This Row],[Input 1 Consumed]]</f>
        <v>0</v>
      </c>
      <c r="CQ33" s="42" t="str">
        <f>IslandModel[[#This Row],[Input 2]]</f>
        <v/>
      </c>
      <c r="CR33" s="42">
        <f>-IslandModel[[#This Row],[Input 2 Consumed]]</f>
        <v>0</v>
      </c>
      <c r="CS33" s="42" t="str">
        <f>IslandModel[[#This Row],[Input 3]]</f>
        <v/>
      </c>
      <c r="CT33" s="42">
        <f>-IslandModel[[#This Row],[Input 3 Consumed]]</f>
        <v>0</v>
      </c>
      <c r="CU33" s="42" t="str">
        <f>IslandModel[[#This Row],[Input 4]]</f>
        <v/>
      </c>
      <c r="CV33" s="42">
        <f>-IslandModel[[#This Row],[Input 4 Consumed]]</f>
        <v>0</v>
      </c>
      <c r="CW33" s="42" t="str">
        <f>IslandModel[[#This Row],[Input 5]]</f>
        <v/>
      </c>
      <c r="CX33" s="42">
        <f>-IslandModel[[#This Row],[Input 5 Consumed]]</f>
        <v>0</v>
      </c>
      <c r="CY33" s="42" t="str">
        <f>IslandModel[[#This Row],[Input 6]]</f>
        <v/>
      </c>
      <c r="CZ33" s="42">
        <f>-IslandModel[[#This Row],[Input 6 Consumed]]</f>
        <v>0</v>
      </c>
      <c r="DA33" s="42" t="str">
        <f>IslandModel[[#This Row],[Input 7]]</f>
        <v/>
      </c>
      <c r="DB33" s="42">
        <f>-IslandModel[[#This Row],[Input 7 Consumed]]</f>
        <v>0</v>
      </c>
      <c r="DC33" s="42" t="str">
        <f>IslandModel[[#This Row],[Input 8]]</f>
        <v/>
      </c>
      <c r="DD33" s="42">
        <f>-IslandModel[[#This Row],[Input 8 Consumed]]</f>
        <v>0</v>
      </c>
      <c r="DE33" s="42" t="str">
        <f>IslandModel[[#This Row],[Input 9]]</f>
        <v/>
      </c>
      <c r="DF33" s="42">
        <f>-IslandModel[[#This Row],[Input 9 Consumed]]</f>
        <v>0</v>
      </c>
      <c r="DG33" s="42" t="str">
        <f>IslandModel[[#This Row],[Input 10]]</f>
        <v/>
      </c>
      <c r="DH33" s="42">
        <f>-IslandModel[[#This Row],[Input 10 Consumed]]</f>
        <v>0</v>
      </c>
      <c r="DJ33" s="55" t="s">
        <v>19</v>
      </c>
      <c r="DK33" s="39">
        <f>SUM(SUMIFS(IslandModel[Resource 1 Qty],IslandModel[Resource 1],ResourceAvailable[[#This Row],[Resource]]))</f>
        <v>0</v>
      </c>
      <c r="DL33"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33" s="39">
        <f>ResourceAvailable[[#This Row],[Amount Produced]]-ResourceAvailable[[#This Row],[Amount Consumed]]</f>
        <v>0</v>
      </c>
      <c r="DN33" s="20">
        <f>MAX(0,ResourceAvailable[[#This Row],[Amount Available for Resident Consumption]]-SUMIFS(ConsumptionModel[Resource Demand],ConsumptionModel[Resource],ResourceAvailable[[#This Row],[Resource]]))</f>
        <v>0</v>
      </c>
    </row>
    <row r="34" spans="2:118" ht="21" x14ac:dyDescent="0.65">
      <c r="B34" s="178">
        <f>ROW()</f>
        <v>34</v>
      </c>
      <c r="C34" s="70">
        <f>INDEX(ConsumptionModelInputs[Quantity],MATCH(ConsumptionModel[[#This Row],[Building]],ConsumptionModelInputs[Building],0))</f>
        <v>10</v>
      </c>
      <c r="D34" s="179" t="s">
        <v>57</v>
      </c>
      <c r="E34" s="179" t="s">
        <v>63</v>
      </c>
      <c r="F34" s="191" t="str">
        <f>IF(OR(ISBLANK(ConsumptionModel[[#This Row],[Building]]),ISBLANK(ConsumptionModel[[#This Row],[Resource]]))," - ",INDEX(Consumption[Type],MATCH(ConsumptionModel[[#This Row],[LookupValue]],Consumption[LookupValue],0)))</f>
        <v>Need</v>
      </c>
      <c r="G34" s="61" t="str">
        <f>IF(OR(ISBLANK(ConsumptionModel[[#This Row],[Building]]),ISBLANK(ConsumptionModel[[#This Row],[Resource]]))," - ",ConsumptionModel[[#This Row],[Building]]&amp;" - "&amp;ConsumptionModel[[#This Row],[Resource]])</f>
        <v>Townsmen's House - Fish</v>
      </c>
      <c r="H34" s="62">
        <f>ConsumptionModel[[#This Row],[Quantity]]*INDEX(Consumption[Consumption/person/h],MATCH(ConsumptionModel[[#This Row],[LookupValue]],Consumption[LookupValue],0))*IFERROR(INDEX(ResidentBuildings[Residents],MATCH(ConsumptionModel[[#This Row],[Building]],ResidentBuildings[Building],0)),0)</f>
        <v>300</v>
      </c>
      <c r="I34"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34" s="57">
        <f>IF(ConsumptionModel[[#This Row],[Quantity]]=0,"",IF(AND(ConsumptionModel[[#This Row],[Resource Demand]]=0,ConsumptionModel[[#This Row],[Resource Available]]&gt;0),1,MIN(1,IFERROR(ConsumptionModel[[#This Row],[Resource Available]]/ConsumptionModel[[#This Row],[Resource Demand]],0))))</f>
        <v>0</v>
      </c>
      <c r="K34"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34" s="197" t="s">
        <v>173</v>
      </c>
      <c r="P34" s="71">
        <f>SUMIFS(ResourceAvailable[Amount Produced],ResourceAvailable[Resource],ResourceMonitor[[#This Row],[Resource]])</f>
        <v>0</v>
      </c>
      <c r="Q34" s="71">
        <f>SUMIFS(ResourceAvailable[Amount Consumed],ResourceAvailable[Resource],ResourceMonitor[[#This Row],[Resource]])</f>
        <v>0</v>
      </c>
      <c r="R34" s="71">
        <f>SUMIFS(ResourceAvailable[Amount Available for Resident Consumption],ResourceAvailable[Resource],ResourceMonitor[[#This Row],[Resource]])</f>
        <v>0</v>
      </c>
      <c r="S34" s="39">
        <f>MAX(0,ResourceMonitor[[#This Row],[Amount Available for Resident Consumption]]-SUMIFS(ConsumptionModel[Resource Demand],ConsumptionModel[Resource],ResourceMonitor[[#This Row],[Resource]]))</f>
        <v>0</v>
      </c>
      <c r="T34" s="39">
        <f>MIN(0,ResourceMonitor[[#This Row],[Amount Available for Resident Consumption]]-SUMIFS(ConsumptionModel[Resource Demand],ConsumptionModel[Resource],ResourceMonitor[[#This Row],[Resource]]))</f>
        <v>-27</v>
      </c>
      <c r="U34" s="122">
        <f>IFERROR(INDEX(#REF!,MATCH(ResourceMonitor[[#This Row],[Resource]],#REF!,0)),0)</f>
        <v>0</v>
      </c>
      <c r="V34" s="194">
        <f>IFERROR(ResourceMonitor[[#This Row],[Amount Produced]]/ResourceMonitor[[#This Row],[Production Target]],0)</f>
        <v>0</v>
      </c>
      <c r="W34" s="133"/>
      <c r="X34" s="47">
        <f>IF(ResourceMonitor[[#This Row],[Ignore shipping needs?]]="Yes",0,ROUNDUP(ResourceMonitor[[#This Row],[Production Target]]/INDEX(ShipRequirementCalculator[Cargo capacity/h (return, 50% empty)],MATCH($X$15,ShipRequirementCalculator[Ship],0)),0))</f>
        <v>0</v>
      </c>
      <c r="Y34" s="47">
        <f>IF(ResourceMonitor[[#This Row],[Ignore shipping needs?]]="Yes",0,ROUNDUP(ResourceMonitor[[#This Row],[Production Target]]/INDEX(ShipRequirementCalculator[Cargo capacity/h (return, 50% empty)],MATCH($Y$15,ShipRequirementCalculator[Ship],0)),0))</f>
        <v>0</v>
      </c>
      <c r="Z34" s="47">
        <f>IF(ResourceMonitor[[#This Row],[Ignore shipping needs?]]="Yes",0,ROUNDUP(ResourceMonitor[[#This Row],[Production Target]]/INDEX(ShipRequirementCalculator[Cargo capacity/h (return, 50% empty)],MATCH($Z$15,ShipRequirementCalculator[Ship],0)),0))</f>
        <v>0</v>
      </c>
      <c r="AA34" s="124"/>
      <c r="AD34" s="83">
        <f>ROW()</f>
        <v>34</v>
      </c>
      <c r="AE34" s="74"/>
      <c r="AF34" s="50"/>
      <c r="AG34" s="50"/>
      <c r="AH34" s="74"/>
      <c r="AI34" s="156">
        <f>IFERROR(IslandModel[[#This Row],[Quantity]]/IslandModel[[#This Row],[Target Quantity]],0)</f>
        <v>0</v>
      </c>
      <c r="AJ34" s="61" t="str">
        <f>IFERROR(INDEX(Production[Resource Produced],MATCH(IslandModel[[#This Row],[Building]],Production[Building],0)),"")</f>
        <v/>
      </c>
      <c r="AK34" s="76">
        <f>IFERROR(IslandModel[[#This Row],[Quantity]]*INDEX(Production[Production in 1h],MATCH(IslandModel[[#This Row],[Building]],Production[Building],0))*IslandModel[[#This Row],[Input Consumption Multiplier]],0)</f>
        <v>0</v>
      </c>
      <c r="AL34" s="90">
        <f>100%</f>
        <v>1</v>
      </c>
      <c r="AM34"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34" s="77" t="str">
        <f>IFERROR(INDEX(Production[Input 1],MATCH(IslandModel[[#This Row],[Building]],Production[Building],0)),"")</f>
        <v/>
      </c>
      <c r="AO34" s="78"/>
      <c r="AP34"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34"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34" s="41">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34" s="35" t="str">
        <f>IFERROR(INDEX(Production[Input 2],MATCH(IslandModel[[#This Row],[Building]],Production[Building],0)),"")</f>
        <v/>
      </c>
      <c r="AT34" s="78"/>
      <c r="AU34"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34"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34"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34" s="35" t="str">
        <f>IFERROR(INDEX(Production[Input 3],MATCH(IslandModel[[#This Row],[Building]],Production[Building],0)),"")</f>
        <v/>
      </c>
      <c r="AY34" s="78"/>
      <c r="AZ34"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34"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34"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34" s="35" t="str">
        <f>IFERROR(INDEX(Production[Input 4],MATCH(IslandModel[[#This Row],[Building]],Production[Building],0)),"")</f>
        <v/>
      </c>
      <c r="BD34" s="78"/>
      <c r="BE34"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34"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34"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34" s="35" t="str">
        <f>IFERROR(INDEX(Production[Input 5],MATCH(IslandModel[[#This Row],[Building]],Production[Building],0)),"")</f>
        <v/>
      </c>
      <c r="BI34" s="78"/>
      <c r="BJ34"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34"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34"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34" s="35" t="str">
        <f>IFERROR(INDEX(Production[Input 6],MATCH(IslandModel[[#This Row],[Building]],Production[Building],0)),"")</f>
        <v/>
      </c>
      <c r="BN34" s="78"/>
      <c r="BO34"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34"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34"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34" s="35" t="str">
        <f>IFERROR(INDEX(Production[Input 7],MATCH(IslandModel[[#This Row],[Building]],Production[Building],0)),"")</f>
        <v/>
      </c>
      <c r="BS34" s="78"/>
      <c r="BT34"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34"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34"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34" s="35" t="str">
        <f>IFERROR(INDEX(Production[Input 8],MATCH(IslandModel[[#This Row],[Building]],Production[Building],0)),"")</f>
        <v/>
      </c>
      <c r="BX34" s="78"/>
      <c r="BY34"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34"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34"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34" s="35" t="str">
        <f>IFERROR(INDEX(Production[Input 9],MATCH(IslandModel[[#This Row],[Building]],Production[Building],0)),"")</f>
        <v/>
      </c>
      <c r="CC34" s="78"/>
      <c r="CD34"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34"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34"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34" s="35" t="str">
        <f>IFERROR(INDEX(Production[Input 10],MATCH(IslandModel[[#This Row],[Building]],Production[Building],0)),"")</f>
        <v/>
      </c>
      <c r="CH34" s="78"/>
      <c r="CI34"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34"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34"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34" s="81">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34" s="82" t="str">
        <f>IslandModel[[#This Row],[Resource Produced]]</f>
        <v/>
      </c>
      <c r="CN34" s="42">
        <f>IslandModel[[#This Row],[Amount produced/h]]</f>
        <v>0</v>
      </c>
      <c r="CO34" s="42" t="str">
        <f>IslandModel[[#This Row],[Input 1]]</f>
        <v/>
      </c>
      <c r="CP34" s="42">
        <f>-IslandModel[[#This Row],[Input 1 Consumed]]</f>
        <v>0</v>
      </c>
      <c r="CQ34" s="42" t="str">
        <f>IslandModel[[#This Row],[Input 2]]</f>
        <v/>
      </c>
      <c r="CR34" s="42">
        <f>-IslandModel[[#This Row],[Input 2 Consumed]]</f>
        <v>0</v>
      </c>
      <c r="CS34" s="42" t="str">
        <f>IslandModel[[#This Row],[Input 3]]</f>
        <v/>
      </c>
      <c r="CT34" s="42">
        <f>-IslandModel[[#This Row],[Input 3 Consumed]]</f>
        <v>0</v>
      </c>
      <c r="CU34" s="42" t="str">
        <f>IslandModel[[#This Row],[Input 4]]</f>
        <v/>
      </c>
      <c r="CV34" s="42">
        <f>-IslandModel[[#This Row],[Input 4 Consumed]]</f>
        <v>0</v>
      </c>
      <c r="CW34" s="42" t="str">
        <f>IslandModel[[#This Row],[Input 5]]</f>
        <v/>
      </c>
      <c r="CX34" s="42">
        <f>-IslandModel[[#This Row],[Input 5 Consumed]]</f>
        <v>0</v>
      </c>
      <c r="CY34" s="42" t="str">
        <f>IslandModel[[#This Row],[Input 6]]</f>
        <v/>
      </c>
      <c r="CZ34" s="42">
        <f>-IslandModel[[#This Row],[Input 6 Consumed]]</f>
        <v>0</v>
      </c>
      <c r="DA34" s="42" t="str">
        <f>IslandModel[[#This Row],[Input 7]]</f>
        <v/>
      </c>
      <c r="DB34" s="42">
        <f>-IslandModel[[#This Row],[Input 7 Consumed]]</f>
        <v>0</v>
      </c>
      <c r="DC34" s="42" t="str">
        <f>IslandModel[[#This Row],[Input 8]]</f>
        <v/>
      </c>
      <c r="DD34" s="42">
        <f>-IslandModel[[#This Row],[Input 8 Consumed]]</f>
        <v>0</v>
      </c>
      <c r="DE34" s="42" t="str">
        <f>IslandModel[[#This Row],[Input 9]]</f>
        <v/>
      </c>
      <c r="DF34" s="42">
        <f>-IslandModel[[#This Row],[Input 9 Consumed]]</f>
        <v>0</v>
      </c>
      <c r="DG34" s="42" t="str">
        <f>IslandModel[[#This Row],[Input 10]]</f>
        <v/>
      </c>
      <c r="DH34" s="42">
        <f>-IslandModel[[#This Row],[Input 10 Consumed]]</f>
        <v>0</v>
      </c>
      <c r="DJ34" s="55" t="s">
        <v>78</v>
      </c>
      <c r="DK34" s="39">
        <f>SUM(SUMIFS(IslandModel[Resource 1 Qty],IslandModel[Resource 1],ResourceAvailable[[#This Row],[Resource]]))</f>
        <v>0</v>
      </c>
      <c r="DL34"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34" s="39">
        <f>ResourceAvailable[[#This Row],[Amount Produced]]-ResourceAvailable[[#This Row],[Amount Consumed]]</f>
        <v>0</v>
      </c>
      <c r="DN34" s="20">
        <f>MAX(0,ResourceAvailable[[#This Row],[Amount Available for Resident Consumption]]-SUMIFS(ConsumptionModel[Resource Demand],ConsumptionModel[Resource],ResourceAvailable[[#This Row],[Resource]]))</f>
        <v>0</v>
      </c>
    </row>
    <row r="35" spans="2:118" ht="21" x14ac:dyDescent="0.65">
      <c r="B35" s="178">
        <f>ROW()</f>
        <v>35</v>
      </c>
      <c r="C35" s="70">
        <f>INDEX(ConsumptionModelInputs[Quantity],MATCH(ConsumptionModel[[#This Row],[Building]],ConsumptionModelInputs[Building],0))</f>
        <v>10</v>
      </c>
      <c r="D35" s="179" t="s">
        <v>57</v>
      </c>
      <c r="E35" s="179" t="s">
        <v>66</v>
      </c>
      <c r="F35" s="191" t="str">
        <f>IF(OR(ISBLANK(ConsumptionModel[[#This Row],[Building]]),ISBLANK(ConsumptionModel[[#This Row],[Resource]]))," - ",INDEX(Consumption[Type],MATCH(ConsumptionModel[[#This Row],[LookupValue]],Consumption[LookupValue],0)))</f>
        <v>Need</v>
      </c>
      <c r="G35" s="61" t="str">
        <f>IF(OR(ISBLANK(ConsumptionModel[[#This Row],[Building]]),ISBLANK(ConsumptionModel[[#This Row],[Resource]]))," - ",ConsumptionModel[[#This Row],[Building]]&amp;" - "&amp;ConsumptionModel[[#This Row],[Resource]])</f>
        <v>Townsmen's House - Schnapps</v>
      </c>
      <c r="H35" s="62">
        <f>ConsumptionModel[[#This Row],[Quantity]]*INDEX(Consumption[Consumption/person/h],MATCH(ConsumptionModel[[#This Row],[LookupValue]],Consumption[LookupValue],0))*IFERROR(INDEX(ResidentBuildings[Residents],MATCH(ConsumptionModel[[#This Row],[Building]],ResidentBuildings[Building],0)),0)</f>
        <v>300</v>
      </c>
      <c r="I35"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35" s="57">
        <f>IF(ConsumptionModel[[#This Row],[Quantity]]=0,"",IF(AND(ConsumptionModel[[#This Row],[Resource Demand]]=0,ConsumptionModel[[#This Row],[Resource Available]]&gt;0),1,MIN(1,IFERROR(ConsumptionModel[[#This Row],[Resource Available]]/ConsumptionModel[[#This Row],[Resource Demand]],0))))</f>
        <v>0</v>
      </c>
      <c r="K35"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35" s="197" t="s">
        <v>149</v>
      </c>
      <c r="P35" s="71">
        <f>SUMIFS(ResourceAvailable[Amount Produced],ResourceAvailable[Resource],ResourceMonitor[[#This Row],[Resource]])</f>
        <v>0</v>
      </c>
      <c r="Q35" s="71">
        <f>SUMIFS(ResourceAvailable[Amount Consumed],ResourceAvailable[Resource],ResourceMonitor[[#This Row],[Resource]])</f>
        <v>0</v>
      </c>
      <c r="R35" s="71">
        <f>SUMIFS(ResourceAvailable[Amount Available for Resident Consumption],ResourceAvailable[Resource],ResourceMonitor[[#This Row],[Resource]])</f>
        <v>0</v>
      </c>
      <c r="S35" s="39">
        <f>MAX(0,ResourceMonitor[[#This Row],[Amount Available for Resident Consumption]]-SUMIFS(ConsumptionModel[Resource Demand],ConsumptionModel[Resource],ResourceMonitor[[#This Row],[Resource]]))</f>
        <v>0</v>
      </c>
      <c r="T35" s="39">
        <f>MIN(0,ResourceMonitor[[#This Row],[Amount Available for Resident Consumption]]-SUMIFS(ConsumptionModel[Resource Demand],ConsumptionModel[Resource],ResourceMonitor[[#This Row],[Resource]]))</f>
        <v>0</v>
      </c>
      <c r="U35" s="122">
        <f>IFERROR(INDEX(#REF!,MATCH(ResourceMonitor[[#This Row],[Resource]],#REF!,0)),0)</f>
        <v>0</v>
      </c>
      <c r="V35" s="194">
        <f>IFERROR(ResourceMonitor[[#This Row],[Amount Produced]]/ResourceMonitor[[#This Row],[Production Target]],0)</f>
        <v>0</v>
      </c>
      <c r="W35" s="133"/>
      <c r="X35" s="47">
        <f>IF(ResourceMonitor[[#This Row],[Ignore shipping needs?]]="Yes",0,ROUNDUP(ResourceMonitor[[#This Row],[Production Target]]/INDEX(ShipRequirementCalculator[Cargo capacity/h (return, 50% empty)],MATCH($X$15,ShipRequirementCalculator[Ship],0)),0))</f>
        <v>0</v>
      </c>
      <c r="Y35" s="47">
        <f>IF(ResourceMonitor[[#This Row],[Ignore shipping needs?]]="Yes",0,ROUNDUP(ResourceMonitor[[#This Row],[Production Target]]/INDEX(ShipRequirementCalculator[Cargo capacity/h (return, 50% empty)],MATCH($Y$15,ShipRequirementCalculator[Ship],0)),0))</f>
        <v>0</v>
      </c>
      <c r="Z35" s="47">
        <f>IF(ResourceMonitor[[#This Row],[Ignore shipping needs?]]="Yes",0,ROUNDUP(ResourceMonitor[[#This Row],[Production Target]]/INDEX(ShipRequirementCalculator[Cargo capacity/h (return, 50% empty)],MATCH($Z$15,ShipRequirementCalculator[Ship],0)),0))</f>
        <v>0</v>
      </c>
      <c r="AA35" s="124"/>
      <c r="AD35" s="83">
        <f>ROW()</f>
        <v>35</v>
      </c>
      <c r="AE35" s="74"/>
      <c r="AF35" s="50"/>
      <c r="AG35" s="50"/>
      <c r="AH35" s="74"/>
      <c r="AI35" s="156">
        <f>IFERROR(IslandModel[[#This Row],[Quantity]]/IslandModel[[#This Row],[Target Quantity]],0)</f>
        <v>0</v>
      </c>
      <c r="AJ35" s="61" t="str">
        <f>IFERROR(INDEX(Production[Resource Produced],MATCH(IslandModel[[#This Row],[Building]],Production[Building],0)),"")</f>
        <v/>
      </c>
      <c r="AK35" s="76">
        <f>IFERROR(IslandModel[[#This Row],[Quantity]]*INDEX(Production[Production in 1h],MATCH(IslandModel[[#This Row],[Building]],Production[Building],0))*IslandModel[[#This Row],[Input Consumption Multiplier]],0)</f>
        <v>0</v>
      </c>
      <c r="AL35" s="90">
        <f>100%</f>
        <v>1</v>
      </c>
      <c r="AM35"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35" s="77" t="str">
        <f>IFERROR(INDEX(Production[Input 1],MATCH(IslandModel[[#This Row],[Building]],Production[Building],0)),"")</f>
        <v/>
      </c>
      <c r="AO35" s="78"/>
      <c r="AP35"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35"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35" s="41">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35" s="35" t="str">
        <f>IFERROR(INDEX(Production[Input 2],MATCH(IslandModel[[#This Row],[Building]],Production[Building],0)),"")</f>
        <v/>
      </c>
      <c r="AT35" s="78"/>
      <c r="AU35"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35"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35"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35" s="35" t="str">
        <f>IFERROR(INDEX(Production[Input 3],MATCH(IslandModel[[#This Row],[Building]],Production[Building],0)),"")</f>
        <v/>
      </c>
      <c r="AY35" s="78"/>
      <c r="AZ35"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35"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35"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35" s="35" t="str">
        <f>IFERROR(INDEX(Production[Input 4],MATCH(IslandModel[[#This Row],[Building]],Production[Building],0)),"")</f>
        <v/>
      </c>
      <c r="BD35" s="78"/>
      <c r="BE35"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35"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35"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35" s="35" t="str">
        <f>IFERROR(INDEX(Production[Input 5],MATCH(IslandModel[[#This Row],[Building]],Production[Building],0)),"")</f>
        <v/>
      </c>
      <c r="BI35" s="78"/>
      <c r="BJ35"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35"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35"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35" s="35" t="str">
        <f>IFERROR(INDEX(Production[Input 6],MATCH(IslandModel[[#This Row],[Building]],Production[Building],0)),"")</f>
        <v/>
      </c>
      <c r="BN35" s="78"/>
      <c r="BO35"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35"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35"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35" s="35" t="str">
        <f>IFERROR(INDEX(Production[Input 7],MATCH(IslandModel[[#This Row],[Building]],Production[Building],0)),"")</f>
        <v/>
      </c>
      <c r="BS35" s="78"/>
      <c r="BT35"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35"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35"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35" s="35" t="str">
        <f>IFERROR(INDEX(Production[Input 8],MATCH(IslandModel[[#This Row],[Building]],Production[Building],0)),"")</f>
        <v/>
      </c>
      <c r="BX35" s="78"/>
      <c r="BY35"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35"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35"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35" s="35" t="str">
        <f>IFERROR(INDEX(Production[Input 9],MATCH(IslandModel[[#This Row],[Building]],Production[Building],0)),"")</f>
        <v/>
      </c>
      <c r="CC35" s="78"/>
      <c r="CD35"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35"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35"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35" s="35" t="str">
        <f>IFERROR(INDEX(Production[Input 10],MATCH(IslandModel[[#This Row],[Building]],Production[Building],0)),"")</f>
        <v/>
      </c>
      <c r="CH35" s="78"/>
      <c r="CI35"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35"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35"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35" s="81">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35" s="82" t="str">
        <f>IslandModel[[#This Row],[Resource Produced]]</f>
        <v/>
      </c>
      <c r="CN35" s="42">
        <f>IslandModel[[#This Row],[Amount produced/h]]</f>
        <v>0</v>
      </c>
      <c r="CO35" s="42" t="str">
        <f>IslandModel[[#This Row],[Input 1]]</f>
        <v/>
      </c>
      <c r="CP35" s="42">
        <f>-IslandModel[[#This Row],[Input 1 Consumed]]</f>
        <v>0</v>
      </c>
      <c r="CQ35" s="42" t="str">
        <f>IslandModel[[#This Row],[Input 2]]</f>
        <v/>
      </c>
      <c r="CR35" s="42">
        <f>-IslandModel[[#This Row],[Input 2 Consumed]]</f>
        <v>0</v>
      </c>
      <c r="CS35" s="42" t="str">
        <f>IslandModel[[#This Row],[Input 3]]</f>
        <v/>
      </c>
      <c r="CT35" s="42">
        <f>-IslandModel[[#This Row],[Input 3 Consumed]]</f>
        <v>0</v>
      </c>
      <c r="CU35" s="42" t="str">
        <f>IslandModel[[#This Row],[Input 4]]</f>
        <v/>
      </c>
      <c r="CV35" s="42">
        <f>-IslandModel[[#This Row],[Input 4 Consumed]]</f>
        <v>0</v>
      </c>
      <c r="CW35" s="42" t="str">
        <f>IslandModel[[#This Row],[Input 5]]</f>
        <v/>
      </c>
      <c r="CX35" s="42">
        <f>-IslandModel[[#This Row],[Input 5 Consumed]]</f>
        <v>0</v>
      </c>
      <c r="CY35" s="42" t="str">
        <f>IslandModel[[#This Row],[Input 6]]</f>
        <v/>
      </c>
      <c r="CZ35" s="42">
        <f>-IslandModel[[#This Row],[Input 6 Consumed]]</f>
        <v>0</v>
      </c>
      <c r="DA35" s="42" t="str">
        <f>IslandModel[[#This Row],[Input 7]]</f>
        <v/>
      </c>
      <c r="DB35" s="42">
        <f>-IslandModel[[#This Row],[Input 7 Consumed]]</f>
        <v>0</v>
      </c>
      <c r="DC35" s="42" t="str">
        <f>IslandModel[[#This Row],[Input 8]]</f>
        <v/>
      </c>
      <c r="DD35" s="42">
        <f>-IslandModel[[#This Row],[Input 8 Consumed]]</f>
        <v>0</v>
      </c>
      <c r="DE35" s="42" t="str">
        <f>IslandModel[[#This Row],[Input 9]]</f>
        <v/>
      </c>
      <c r="DF35" s="42">
        <f>-IslandModel[[#This Row],[Input 9 Consumed]]</f>
        <v>0</v>
      </c>
      <c r="DG35" s="42" t="str">
        <f>IslandModel[[#This Row],[Input 10]]</f>
        <v/>
      </c>
      <c r="DH35" s="42">
        <f>-IslandModel[[#This Row],[Input 10 Consumed]]</f>
        <v>0</v>
      </c>
      <c r="DJ35" t="s">
        <v>162</v>
      </c>
      <c r="DK35" s="39">
        <f>SUM(SUMIFS(IslandModel[Resource 1 Qty],IslandModel[Resource 1],ResourceAvailable[[#This Row],[Resource]]))</f>
        <v>0</v>
      </c>
      <c r="DL35"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35" s="39">
        <f>ResourceAvailable[[#This Row],[Amount Produced]]-ResourceAvailable[[#This Row],[Amount Consumed]]</f>
        <v>0</v>
      </c>
      <c r="DN35" s="20">
        <f>MAX(0,ResourceAvailable[[#This Row],[Amount Available for Resident Consumption]]-SUMIFS(ConsumptionModel[Resource Demand],ConsumptionModel[Resource],ResourceAvailable[[#This Row],[Resource]]))</f>
        <v>0</v>
      </c>
    </row>
    <row r="36" spans="2:118" ht="21" x14ac:dyDescent="0.65">
      <c r="B36" s="178">
        <f>ROW()</f>
        <v>36</v>
      </c>
      <c r="C36" s="70">
        <f>INDEX(ConsumptionModelInputs[Quantity],MATCH(ConsumptionModel[[#This Row],[Building]],ConsumptionModelInputs[Building],0))</f>
        <v>10</v>
      </c>
      <c r="D36" s="179" t="s">
        <v>57</v>
      </c>
      <c r="E36" s="179" t="s">
        <v>72</v>
      </c>
      <c r="F36" s="191" t="str">
        <f>IF(OR(ISBLANK(ConsumptionModel[[#This Row],[Building]]),ISBLANK(ConsumptionModel[[#This Row],[Resource]]))," - ",INDEX(Consumption[Type],MATCH(ConsumptionModel[[#This Row],[LookupValue]],Consumption[LookupValue],0)))</f>
        <v>Need</v>
      </c>
      <c r="G36" s="61" t="str">
        <f>IF(OR(ISBLANK(ConsumptionModel[[#This Row],[Building]]),ISBLANK(ConsumptionModel[[#This Row],[Resource]]))," - ",ConsumptionModel[[#This Row],[Building]]&amp;" - "&amp;ConsumptionModel[[#This Row],[Resource]])</f>
        <v>Townsmen's House - Linen</v>
      </c>
      <c r="H36" s="62">
        <f>ConsumptionModel[[#This Row],[Quantity]]*INDEX(Consumption[Consumption/person/h],MATCH(ConsumptionModel[[#This Row],[LookupValue]],Consumption[LookupValue],0))*IFERROR(INDEX(ResidentBuildings[Residents],MATCH(ConsumptionModel[[#This Row],[Building]],ResidentBuildings[Building],0)),0)</f>
        <v>75</v>
      </c>
      <c r="I36"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36" s="57">
        <f>IF(ConsumptionModel[[#This Row],[Quantity]]=0,"",IF(AND(ConsumptionModel[[#This Row],[Resource Demand]]=0,ConsumptionModel[[#This Row],[Resource Available]]&gt;0),1,MIN(1,IFERROR(ConsumptionModel[[#This Row],[Resource Available]]/ConsumptionModel[[#This Row],[Resource Demand]],0))))</f>
        <v>0</v>
      </c>
      <c r="K36"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36" s="197" t="s">
        <v>152</v>
      </c>
      <c r="P36" s="71">
        <f>SUMIFS(ResourceAvailable[Amount Produced],ResourceAvailable[Resource],ResourceMonitor[[#This Row],[Resource]])</f>
        <v>0</v>
      </c>
      <c r="Q36" s="71">
        <f>SUMIFS(ResourceAvailable[Amount Consumed],ResourceAvailable[Resource],ResourceMonitor[[#This Row],[Resource]])</f>
        <v>0</v>
      </c>
      <c r="R36" s="71">
        <f>SUMIFS(ResourceAvailable[Amount Available for Resident Consumption],ResourceAvailable[Resource],ResourceMonitor[[#This Row],[Resource]])</f>
        <v>0</v>
      </c>
      <c r="S36" s="39">
        <f>MAX(0,ResourceMonitor[[#This Row],[Amount Available for Resident Consumption]]-SUMIFS(ConsumptionModel[Resource Demand],ConsumptionModel[Resource],ResourceMonitor[[#This Row],[Resource]]))</f>
        <v>0</v>
      </c>
      <c r="T36" s="39">
        <f>MIN(0,ResourceMonitor[[#This Row],[Amount Available for Resident Consumption]]-SUMIFS(ConsumptionModel[Resource Demand],ConsumptionModel[Resource],ResourceMonitor[[#This Row],[Resource]]))</f>
        <v>0</v>
      </c>
      <c r="U36" s="122">
        <f>IFERROR(INDEX(#REF!,MATCH(ResourceMonitor[[#This Row],[Resource]],#REF!,0)),0)</f>
        <v>0</v>
      </c>
      <c r="V36" s="194">
        <f>IFERROR(ResourceMonitor[[#This Row],[Amount Produced]]/ResourceMonitor[[#This Row],[Production Target]],0)</f>
        <v>0</v>
      </c>
      <c r="W36" s="133" t="s">
        <v>242</v>
      </c>
      <c r="X36" s="47">
        <f>IF(ResourceMonitor[[#This Row],[Ignore shipping needs?]]="Yes",0,ROUNDUP(ResourceMonitor[[#This Row],[Production Target]]/INDEX(ShipRequirementCalculator[Cargo capacity/h (return, 50% empty)],MATCH($X$15,ShipRequirementCalculator[Ship],0)),0))</f>
        <v>0</v>
      </c>
      <c r="Y36" s="47">
        <f>IF(ResourceMonitor[[#This Row],[Ignore shipping needs?]]="Yes",0,ROUNDUP(ResourceMonitor[[#This Row],[Production Target]]/INDEX(ShipRequirementCalculator[Cargo capacity/h (return, 50% empty)],MATCH($Y$15,ShipRequirementCalculator[Ship],0)),0))</f>
        <v>0</v>
      </c>
      <c r="Z36" s="47">
        <f>IF(ResourceMonitor[[#This Row],[Ignore shipping needs?]]="Yes",0,ROUNDUP(ResourceMonitor[[#This Row],[Production Target]]/INDEX(ShipRequirementCalculator[Cargo capacity/h (return, 50% empty)],MATCH($Z$15,ShipRequirementCalculator[Ship],0)),0))</f>
        <v>0</v>
      </c>
      <c r="AA36" s="124"/>
      <c r="AD36" s="83">
        <f>ROW()</f>
        <v>36</v>
      </c>
      <c r="AE36" s="74"/>
      <c r="AF36" s="50"/>
      <c r="AG36" s="50"/>
      <c r="AH36" s="74"/>
      <c r="AI36" s="156">
        <f>IFERROR(IslandModel[[#This Row],[Quantity]]/IslandModel[[#This Row],[Target Quantity]],0)</f>
        <v>0</v>
      </c>
      <c r="AJ36" s="61" t="str">
        <f>IFERROR(INDEX(Production[Resource Produced],MATCH(IslandModel[[#This Row],[Building]],Production[Building],0)),"")</f>
        <v/>
      </c>
      <c r="AK36" s="76">
        <f>IFERROR(IslandModel[[#This Row],[Quantity]]*INDEX(Production[Production in 1h],MATCH(IslandModel[[#This Row],[Building]],Production[Building],0))*IslandModel[[#This Row],[Input Consumption Multiplier]],0)</f>
        <v>0</v>
      </c>
      <c r="AL36" s="90">
        <f>100%</f>
        <v>1</v>
      </c>
      <c r="AM36"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36" s="77" t="str">
        <f>IFERROR(INDEX(Production[Input 1],MATCH(IslandModel[[#This Row],[Building]],Production[Building],0)),"")</f>
        <v/>
      </c>
      <c r="AO36" s="78"/>
      <c r="AP36"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36"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36" s="41">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36" s="35" t="str">
        <f>IFERROR(INDEX(Production[Input 2],MATCH(IslandModel[[#This Row],[Building]],Production[Building],0)),"")</f>
        <v/>
      </c>
      <c r="AT36" s="78"/>
      <c r="AU36"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36"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36"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36" s="35" t="str">
        <f>IFERROR(INDEX(Production[Input 3],MATCH(IslandModel[[#This Row],[Building]],Production[Building],0)),"")</f>
        <v/>
      </c>
      <c r="AY36" s="78"/>
      <c r="AZ36"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36"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36"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36" s="35" t="str">
        <f>IFERROR(INDEX(Production[Input 4],MATCH(IslandModel[[#This Row],[Building]],Production[Building],0)),"")</f>
        <v/>
      </c>
      <c r="BD36" s="78"/>
      <c r="BE36"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36"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36"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36" s="35" t="str">
        <f>IFERROR(INDEX(Production[Input 5],MATCH(IslandModel[[#This Row],[Building]],Production[Building],0)),"")</f>
        <v/>
      </c>
      <c r="BI36" s="78"/>
      <c r="BJ36"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36"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36"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36" s="35" t="str">
        <f>IFERROR(INDEX(Production[Input 6],MATCH(IslandModel[[#This Row],[Building]],Production[Building],0)),"")</f>
        <v/>
      </c>
      <c r="BN36" s="78"/>
      <c r="BO36"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36"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36"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36" s="35" t="str">
        <f>IFERROR(INDEX(Production[Input 7],MATCH(IslandModel[[#This Row],[Building]],Production[Building],0)),"")</f>
        <v/>
      </c>
      <c r="BS36" s="78"/>
      <c r="BT36"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36"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36"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36" s="35" t="str">
        <f>IFERROR(INDEX(Production[Input 8],MATCH(IslandModel[[#This Row],[Building]],Production[Building],0)),"")</f>
        <v/>
      </c>
      <c r="BX36" s="78"/>
      <c r="BY36"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36"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36"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36" s="35" t="str">
        <f>IFERROR(INDEX(Production[Input 9],MATCH(IslandModel[[#This Row],[Building]],Production[Building],0)),"")</f>
        <v/>
      </c>
      <c r="CC36" s="78"/>
      <c r="CD36"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36"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36"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36" s="35" t="str">
        <f>IFERROR(INDEX(Production[Input 10],MATCH(IslandModel[[#This Row],[Building]],Production[Building],0)),"")</f>
        <v/>
      </c>
      <c r="CH36" s="78"/>
      <c r="CI36"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36"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36"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36" s="81">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36" s="82" t="str">
        <f>IslandModel[[#This Row],[Resource Produced]]</f>
        <v/>
      </c>
      <c r="CN36" s="42">
        <f>IslandModel[[#This Row],[Amount produced/h]]</f>
        <v>0</v>
      </c>
      <c r="CO36" s="42" t="str">
        <f>IslandModel[[#This Row],[Input 1]]</f>
        <v/>
      </c>
      <c r="CP36" s="42">
        <f>-IslandModel[[#This Row],[Input 1 Consumed]]</f>
        <v>0</v>
      </c>
      <c r="CQ36" s="42" t="str">
        <f>IslandModel[[#This Row],[Input 2]]</f>
        <v/>
      </c>
      <c r="CR36" s="42">
        <f>-IslandModel[[#This Row],[Input 2 Consumed]]</f>
        <v>0</v>
      </c>
      <c r="CS36" s="42" t="str">
        <f>IslandModel[[#This Row],[Input 3]]</f>
        <v/>
      </c>
      <c r="CT36" s="42">
        <f>-IslandModel[[#This Row],[Input 3 Consumed]]</f>
        <v>0</v>
      </c>
      <c r="CU36" s="42" t="str">
        <f>IslandModel[[#This Row],[Input 4]]</f>
        <v/>
      </c>
      <c r="CV36" s="42">
        <f>-IslandModel[[#This Row],[Input 4 Consumed]]</f>
        <v>0</v>
      </c>
      <c r="CW36" s="42" t="str">
        <f>IslandModel[[#This Row],[Input 5]]</f>
        <v/>
      </c>
      <c r="CX36" s="42">
        <f>-IslandModel[[#This Row],[Input 5 Consumed]]</f>
        <v>0</v>
      </c>
      <c r="CY36" s="42" t="str">
        <f>IslandModel[[#This Row],[Input 6]]</f>
        <v/>
      </c>
      <c r="CZ36" s="42">
        <f>-IslandModel[[#This Row],[Input 6 Consumed]]</f>
        <v>0</v>
      </c>
      <c r="DA36" s="42" t="str">
        <f>IslandModel[[#This Row],[Input 7]]</f>
        <v/>
      </c>
      <c r="DB36" s="42">
        <f>-IslandModel[[#This Row],[Input 7 Consumed]]</f>
        <v>0</v>
      </c>
      <c r="DC36" s="42" t="str">
        <f>IslandModel[[#This Row],[Input 8]]</f>
        <v/>
      </c>
      <c r="DD36" s="42">
        <f>-IslandModel[[#This Row],[Input 8 Consumed]]</f>
        <v>0</v>
      </c>
      <c r="DE36" s="42" t="str">
        <f>IslandModel[[#This Row],[Input 9]]</f>
        <v/>
      </c>
      <c r="DF36" s="42">
        <f>-IslandModel[[#This Row],[Input 9 Consumed]]</f>
        <v>0</v>
      </c>
      <c r="DG36" s="42" t="str">
        <f>IslandModel[[#This Row],[Input 10]]</f>
        <v/>
      </c>
      <c r="DH36" s="42">
        <f>-IslandModel[[#This Row],[Input 10 Consumed]]</f>
        <v>0</v>
      </c>
      <c r="DJ36" s="55" t="s">
        <v>13</v>
      </c>
      <c r="DK36" s="39">
        <f>SUM(SUMIFS(IslandModel[Resource 1 Qty],IslandModel[Resource 1],ResourceAvailable[[#This Row],[Resource]]))</f>
        <v>0</v>
      </c>
      <c r="DL36"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36" s="39">
        <f>ResourceAvailable[[#This Row],[Amount Produced]]-ResourceAvailable[[#This Row],[Amount Consumed]]</f>
        <v>0</v>
      </c>
      <c r="DN36" s="20">
        <f>MAX(0,ResourceAvailable[[#This Row],[Amount Available for Resident Consumption]]-SUMIFS(ConsumptionModel[Resource Demand],ConsumptionModel[Resource],ResourceAvailable[[#This Row],[Resource]]))</f>
        <v>0</v>
      </c>
    </row>
    <row r="37" spans="2:118" ht="21" x14ac:dyDescent="0.65">
      <c r="B37" s="178">
        <f>ROW()</f>
        <v>37</v>
      </c>
      <c r="C37" s="70">
        <f>INDEX(ConsumptionModelInputs[Quantity],MATCH(ConsumptionModel[[#This Row],[Building]],ConsumptionModelInputs[Building],0))</f>
        <v>10</v>
      </c>
      <c r="D37" s="179" t="s">
        <v>57</v>
      </c>
      <c r="E37" s="179" t="s">
        <v>367</v>
      </c>
      <c r="F37" s="191" t="str">
        <f>IF(OR(ISBLANK(ConsumptionModel[[#This Row],[Building]]),ISBLANK(ConsumptionModel[[#This Row],[Resource]]))," - ",INDEX(Consumption[Type],MATCH(ConsumptionModel[[#This Row],[LookupValue]],Consumption[LookupValue],0)))</f>
        <v>Luxury</v>
      </c>
      <c r="G37" s="61" t="str">
        <f>IF(OR(ISBLANK(ConsumptionModel[[#This Row],[Building]]),ISBLANK(ConsumptionModel[[#This Row],[Resource]]))," - ",ConsumptionModel[[#This Row],[Building]]&amp;" - "&amp;ConsumptionModel[[#This Row],[Resource]])</f>
        <v>Townsmen's House - Fabric</v>
      </c>
      <c r="H37" s="62">
        <f>ConsumptionModel[[#This Row],[Quantity]]*INDEX(Consumption[Consumption/person/h],MATCH(ConsumptionModel[[#This Row],[LookupValue]],Consumption[LookupValue],0))*IFERROR(INDEX(ResidentBuildings[Residents],MATCH(ConsumptionModel[[#This Row],[Building]],ResidentBuildings[Building],0)),0)</f>
        <v>45</v>
      </c>
      <c r="I37"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37" s="57">
        <f>IF(ConsumptionModel[[#This Row],[Quantity]]=0,"",IF(AND(ConsumptionModel[[#This Row],[Resource Demand]]=0,ConsumptionModel[[#This Row],[Resource Available]]&gt;0),1,MIN(1,IFERROR(ConsumptionModel[[#This Row],[Resource Available]]/ConsumptionModel[[#This Row],[Resource Demand]],0))))</f>
        <v>0</v>
      </c>
      <c r="K37"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37" s="197" t="s">
        <v>337</v>
      </c>
      <c r="P37" s="71">
        <f>SUMIFS(ResourceAvailable[Amount Produced],ResourceAvailable[Resource],ResourceMonitor[[#This Row],[Resource]])</f>
        <v>0</v>
      </c>
      <c r="Q37" s="71">
        <f>SUMIFS(ResourceAvailable[Amount Consumed],ResourceAvailable[Resource],ResourceMonitor[[#This Row],[Resource]])</f>
        <v>0</v>
      </c>
      <c r="R37" s="71">
        <f>SUMIFS(ResourceAvailable[Amount Available for Resident Consumption],ResourceAvailable[Resource],ResourceMonitor[[#This Row],[Resource]])</f>
        <v>0</v>
      </c>
      <c r="S37" s="39">
        <f>MAX(0,ResourceMonitor[[#This Row],[Amount Available for Resident Consumption]]-SUMIFS(ConsumptionModel[Resource Demand],ConsumptionModel[Resource],ResourceMonitor[[#This Row],[Resource]]))</f>
        <v>0</v>
      </c>
      <c r="T37" s="39">
        <f>MIN(0,ResourceMonitor[[#This Row],[Amount Available for Resident Consumption]]-SUMIFS(ConsumptionModel[Resource Demand],ConsumptionModel[Resource],ResourceMonitor[[#This Row],[Resource]]))</f>
        <v>0</v>
      </c>
      <c r="U37" s="122">
        <f>IFERROR(INDEX(#REF!,MATCH(ResourceMonitor[[#This Row],[Resource]],#REF!,0)),0)</f>
        <v>0</v>
      </c>
      <c r="V37" s="194">
        <f>IFERROR(ResourceMonitor[[#This Row],[Amount Produced]]/ResourceMonitor[[#This Row],[Production Target]],0)</f>
        <v>0</v>
      </c>
      <c r="W37" s="133"/>
      <c r="X37" s="47">
        <f>IF(ResourceMonitor[[#This Row],[Ignore shipping needs?]]="Yes",0,ROUNDUP(ResourceMonitor[[#This Row],[Production Target]]/INDEX(ShipRequirementCalculator[Cargo capacity/h (return, 50% empty)],MATCH($X$15,ShipRequirementCalculator[Ship],0)),0))</f>
        <v>0</v>
      </c>
      <c r="Y37" s="47">
        <f>IF(ResourceMonitor[[#This Row],[Ignore shipping needs?]]="Yes",0,ROUNDUP(ResourceMonitor[[#This Row],[Production Target]]/INDEX(ShipRequirementCalculator[Cargo capacity/h (return, 50% empty)],MATCH($Y$15,ShipRequirementCalculator[Ship],0)),0))</f>
        <v>0</v>
      </c>
      <c r="Z37" s="47">
        <f>IF(ResourceMonitor[[#This Row],[Ignore shipping needs?]]="Yes",0,ROUNDUP(ResourceMonitor[[#This Row],[Production Target]]/INDEX(ShipRequirementCalculator[Cargo capacity/h (return, 50% empty)],MATCH($Z$15,ShipRequirementCalculator[Ship],0)),0))</f>
        <v>0</v>
      </c>
      <c r="AA37" s="124"/>
      <c r="AD37" s="83">
        <f>ROW()</f>
        <v>37</v>
      </c>
      <c r="AE37" s="74"/>
      <c r="AF37" s="50"/>
      <c r="AG37" s="50"/>
      <c r="AH37" s="74"/>
      <c r="AI37" s="156">
        <f>IFERROR(IslandModel[[#This Row],[Quantity]]/IslandModel[[#This Row],[Target Quantity]],0)</f>
        <v>0</v>
      </c>
      <c r="AJ37" s="61" t="str">
        <f>IFERROR(INDEX(Production[Resource Produced],MATCH(IslandModel[[#This Row],[Building]],Production[Building],0)),"")</f>
        <v/>
      </c>
      <c r="AK37" s="99">
        <f>IFERROR(IslandModel[[#This Row],[Quantity]]*INDEX(Production[Production in 1h],MATCH(IslandModel[[#This Row],[Building]],Production[Building],0))*IslandModel[[#This Row],[Input Consumption Multiplier]],0)</f>
        <v>0</v>
      </c>
      <c r="AL37" s="115">
        <f>100%</f>
        <v>1</v>
      </c>
      <c r="AM37"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37" s="77" t="str">
        <f>IFERROR(INDEX(Production[Input 1],MATCH(IslandModel[[#This Row],[Building]],Production[Building],0)),"")</f>
        <v/>
      </c>
      <c r="AO37" s="78"/>
      <c r="AP37"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37"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37"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37" s="35" t="str">
        <f>IFERROR(INDEX(Production[Input 2],MATCH(IslandModel[[#This Row],[Building]],Production[Building],0)),"")</f>
        <v/>
      </c>
      <c r="AT37" s="78"/>
      <c r="AU37"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37"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37"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37" s="35" t="str">
        <f>IFERROR(INDEX(Production[Input 3],MATCH(IslandModel[[#This Row],[Building]],Production[Building],0)),"")</f>
        <v/>
      </c>
      <c r="AY37" s="78"/>
      <c r="AZ37"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37"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37"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37" s="35" t="str">
        <f>IFERROR(INDEX(Production[Input 4],MATCH(IslandModel[[#This Row],[Building]],Production[Building],0)),"")</f>
        <v/>
      </c>
      <c r="BD37" s="78"/>
      <c r="BE37"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37"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37"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37" s="35" t="str">
        <f>IFERROR(INDEX(Production[Input 5],MATCH(IslandModel[[#This Row],[Building]],Production[Building],0)),"")</f>
        <v/>
      </c>
      <c r="BI37" s="78"/>
      <c r="BJ37"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37"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37"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37" s="35" t="str">
        <f>IFERROR(INDEX(Production[Input 6],MATCH(IslandModel[[#This Row],[Building]],Production[Building],0)),"")</f>
        <v/>
      </c>
      <c r="BN37" s="78"/>
      <c r="BO37"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37"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37"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37" s="35" t="str">
        <f>IFERROR(INDEX(Production[Input 7],MATCH(IslandModel[[#This Row],[Building]],Production[Building],0)),"")</f>
        <v/>
      </c>
      <c r="BS37" s="78"/>
      <c r="BT37"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37"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37"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37" s="35" t="str">
        <f>IFERROR(INDEX(Production[Input 8],MATCH(IslandModel[[#This Row],[Building]],Production[Building],0)),"")</f>
        <v/>
      </c>
      <c r="BX37" s="78"/>
      <c r="BY37"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37"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37"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37" s="35" t="str">
        <f>IFERROR(INDEX(Production[Input 9],MATCH(IslandModel[[#This Row],[Building]],Production[Building],0)),"")</f>
        <v/>
      </c>
      <c r="CC37" s="78"/>
      <c r="CD37"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37"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37"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37" s="35" t="str">
        <f>IFERROR(INDEX(Production[Input 10],MATCH(IslandModel[[#This Row],[Building]],Production[Building],0)),"")</f>
        <v/>
      </c>
      <c r="CH37" s="78"/>
      <c r="CI37"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37"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37"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37"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37" s="82" t="str">
        <f>IslandModel[[#This Row],[Resource Produced]]</f>
        <v/>
      </c>
      <c r="CN37" s="42">
        <f>IslandModel[[#This Row],[Amount produced/h]]</f>
        <v>0</v>
      </c>
      <c r="CO37" s="42" t="str">
        <f>IslandModel[[#This Row],[Input 1]]</f>
        <v/>
      </c>
      <c r="CP37" s="42">
        <f>-IslandModel[[#This Row],[Input 1 Consumed]]</f>
        <v>0</v>
      </c>
      <c r="CQ37" s="42" t="str">
        <f>IslandModel[[#This Row],[Input 2]]</f>
        <v/>
      </c>
      <c r="CR37" s="42">
        <f>-IslandModel[[#This Row],[Input 2 Consumed]]</f>
        <v>0</v>
      </c>
      <c r="CS37" s="42" t="str">
        <f>IslandModel[[#This Row],[Input 3]]</f>
        <v/>
      </c>
      <c r="CT37" s="42">
        <f>-IslandModel[[#This Row],[Input 3 Consumed]]</f>
        <v>0</v>
      </c>
      <c r="CU37" s="42" t="str">
        <f>IslandModel[[#This Row],[Input 4]]</f>
        <v/>
      </c>
      <c r="CV37" s="42">
        <f>-IslandModel[[#This Row],[Input 4 Consumed]]</f>
        <v>0</v>
      </c>
      <c r="CW37" s="42" t="str">
        <f>IslandModel[[#This Row],[Input 5]]</f>
        <v/>
      </c>
      <c r="CX37" s="42">
        <f>-IslandModel[[#This Row],[Input 5 Consumed]]</f>
        <v>0</v>
      </c>
      <c r="CY37" s="42" t="str">
        <f>IslandModel[[#This Row],[Input 6]]</f>
        <v/>
      </c>
      <c r="CZ37" s="42">
        <f>-IslandModel[[#This Row],[Input 6 Consumed]]</f>
        <v>0</v>
      </c>
      <c r="DA37" s="42" t="str">
        <f>IslandModel[[#This Row],[Input 7]]</f>
        <v/>
      </c>
      <c r="DB37" s="42">
        <f>-IslandModel[[#This Row],[Input 7 Consumed]]</f>
        <v>0</v>
      </c>
      <c r="DC37" s="42" t="str">
        <f>IslandModel[[#This Row],[Input 8]]</f>
        <v/>
      </c>
      <c r="DD37" s="42">
        <f>-IslandModel[[#This Row],[Input 8 Consumed]]</f>
        <v>0</v>
      </c>
      <c r="DE37" s="42" t="str">
        <f>IslandModel[[#This Row],[Input 9]]</f>
        <v/>
      </c>
      <c r="DF37" s="42">
        <f>-IslandModel[[#This Row],[Input 9 Consumed]]</f>
        <v>0</v>
      </c>
      <c r="DG37" s="42" t="str">
        <f>IslandModel[[#This Row],[Input 10]]</f>
        <v/>
      </c>
      <c r="DH37" s="42">
        <f>-IslandModel[[#This Row],[Input 10 Consumed]]</f>
        <v>0</v>
      </c>
      <c r="DJ37" s="55" t="s">
        <v>116</v>
      </c>
      <c r="DK37" s="39">
        <f>SUM(SUMIFS(IslandModel[Resource 1 Qty],IslandModel[Resource 1],ResourceAvailable[[#This Row],[Resource]]))</f>
        <v>0</v>
      </c>
      <c r="DL37"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37" s="39">
        <f>ResourceAvailable[[#This Row],[Amount Produced]]-ResourceAvailable[[#This Row],[Amount Consumed]]</f>
        <v>0</v>
      </c>
      <c r="DN37" s="20">
        <f>MAX(0,ResourceAvailable[[#This Row],[Amount Available for Resident Consumption]]-SUMIFS(ConsumptionModel[Resource Demand],ConsumptionModel[Resource],ResourceAvailable[[#This Row],[Resource]]))</f>
        <v>0</v>
      </c>
    </row>
    <row r="38" spans="2:118" ht="21" x14ac:dyDescent="0.65">
      <c r="B38" s="178">
        <f>ROW()</f>
        <v>38</v>
      </c>
      <c r="C38" s="70">
        <f>INDEX(ConsumptionModelInputs[Quantity],MATCH(ConsumptionModel[[#This Row],[Building]],ConsumptionModelInputs[Building],0))</f>
        <v>10</v>
      </c>
      <c r="D38" s="179" t="s">
        <v>57</v>
      </c>
      <c r="E38" s="179" t="s">
        <v>108</v>
      </c>
      <c r="F38" s="191" t="str">
        <f>IF(OR(ISBLANK(ConsumptionModel[[#This Row],[Building]]),ISBLANK(ConsumptionModel[[#This Row],[Resource]]))," - ",INDEX(Consumption[Type],MATCH(ConsumptionModel[[#This Row],[LookupValue]],Consumption[LookupValue],0)))</f>
        <v>Luxury</v>
      </c>
      <c r="G38" s="61" t="str">
        <f>IF(OR(ISBLANK(ConsumptionModel[[#This Row],[Building]]),ISBLANK(ConsumptionModel[[#This Row],[Resource]]))," - ",ConsumptionModel[[#This Row],[Building]]&amp;" - "&amp;ConsumptionModel[[#This Row],[Resource]])</f>
        <v>Townsmen's House - Bread</v>
      </c>
      <c r="H38" s="62">
        <f>ConsumptionModel[[#This Row],[Quantity]]*INDEX(Consumption[Consumption/person/h],MATCH(ConsumptionModel[[#This Row],[LookupValue]],Consumption[LookupValue],0))*IFERROR(INDEX(ResidentBuildings[Residents],MATCH(ConsumptionModel[[#This Row],[Building]],ResidentBuildings[Building],0)),0)</f>
        <v>45</v>
      </c>
      <c r="I38"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38" s="57">
        <f>IF(ConsumptionModel[[#This Row],[Quantity]]=0,"",IF(AND(ConsumptionModel[[#This Row],[Resource Demand]]=0,ConsumptionModel[[#This Row],[Resource Available]]&gt;0),1,MIN(1,IFERROR(ConsumptionModel[[#This Row],[Resource Available]]/ConsumptionModel[[#This Row],[Resource Demand]],0))))</f>
        <v>0</v>
      </c>
      <c r="K38"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38" s="197" t="s">
        <v>372</v>
      </c>
      <c r="P38" s="71">
        <f>SUMIFS(ResourceAvailable[Amount Produced],ResourceAvailable[Resource],ResourceMonitor[[#This Row],[Resource]])</f>
        <v>0</v>
      </c>
      <c r="Q38" s="71">
        <f>SUMIFS(ResourceAvailable[Amount Consumed],ResourceAvailable[Resource],ResourceMonitor[[#This Row],[Resource]])</f>
        <v>0</v>
      </c>
      <c r="R38" s="71">
        <f>SUMIFS(ResourceAvailable[Amount Available for Resident Consumption],ResourceAvailable[Resource],ResourceMonitor[[#This Row],[Resource]])</f>
        <v>0</v>
      </c>
      <c r="S38" s="39">
        <f>MAX(0,ResourceMonitor[[#This Row],[Amount Available for Resident Consumption]]-SUMIFS(ConsumptionModel[Resource Demand],ConsumptionModel[Resource],ResourceMonitor[[#This Row],[Resource]]))</f>
        <v>0</v>
      </c>
      <c r="T38" s="39">
        <f>MIN(0,ResourceMonitor[[#This Row],[Amount Available for Resident Consumption]]-SUMIFS(ConsumptionModel[Resource Demand],ConsumptionModel[Resource],ResourceMonitor[[#This Row],[Resource]]))</f>
        <v>-244.8</v>
      </c>
      <c r="U38" s="122">
        <f>IFERROR(INDEX(#REF!,MATCH(ResourceMonitor[[#This Row],[Resource]],#REF!,0)),0)</f>
        <v>0</v>
      </c>
      <c r="V38" s="194">
        <f>IFERROR(ResourceMonitor[[#This Row],[Amount Produced]]/ResourceMonitor[[#This Row],[Production Target]],0)</f>
        <v>0</v>
      </c>
      <c r="W38" s="133"/>
      <c r="X38" s="47">
        <f>IF(ResourceMonitor[[#This Row],[Ignore shipping needs?]]="Yes",0,ROUNDUP(ResourceMonitor[[#This Row],[Production Target]]/INDEX(ShipRequirementCalculator[Cargo capacity/h (return, 50% empty)],MATCH($X$15,ShipRequirementCalculator[Ship],0)),0))</f>
        <v>0</v>
      </c>
      <c r="Y38" s="47">
        <f>IF(ResourceMonitor[[#This Row],[Ignore shipping needs?]]="Yes",0,ROUNDUP(ResourceMonitor[[#This Row],[Production Target]]/INDEX(ShipRequirementCalculator[Cargo capacity/h (return, 50% empty)],MATCH($Y$15,ShipRequirementCalculator[Ship],0)),0))</f>
        <v>0</v>
      </c>
      <c r="Z38" s="47">
        <f>IF(ResourceMonitor[[#This Row],[Ignore shipping needs?]]="Yes",0,ROUNDUP(ResourceMonitor[[#This Row],[Production Target]]/INDEX(ShipRequirementCalculator[Cargo capacity/h (return, 50% empty)],MATCH($Z$15,ShipRequirementCalculator[Ship],0)),0))</f>
        <v>0</v>
      </c>
      <c r="AA38" s="124"/>
      <c r="AD38" s="83">
        <f>ROW()</f>
        <v>38</v>
      </c>
      <c r="AE38" s="74"/>
      <c r="AF38" s="50"/>
      <c r="AG38" s="50"/>
      <c r="AH38" s="74"/>
      <c r="AI38" s="156">
        <f>IFERROR(IslandModel[[#This Row],[Quantity]]/IslandModel[[#This Row],[Target Quantity]],0)</f>
        <v>0</v>
      </c>
      <c r="AJ38" s="61" t="str">
        <f>IFERROR(INDEX(Production[Resource Produced],MATCH(IslandModel[[#This Row],[Building]],Production[Building],0)),"")</f>
        <v/>
      </c>
      <c r="AK38" s="99">
        <f>IFERROR(IslandModel[[#This Row],[Quantity]]*INDEX(Production[Production in 1h],MATCH(IslandModel[[#This Row],[Building]],Production[Building],0))*IslandModel[[#This Row],[Input Consumption Multiplier]],0)</f>
        <v>0</v>
      </c>
      <c r="AL38" s="115">
        <f>100%</f>
        <v>1</v>
      </c>
      <c r="AM38"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38" s="77" t="str">
        <f>IFERROR(INDEX(Production[Input 1],MATCH(IslandModel[[#This Row],[Building]],Production[Building],0)),"")</f>
        <v/>
      </c>
      <c r="AO38" s="78"/>
      <c r="AP38"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38"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38"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38" s="35" t="str">
        <f>IFERROR(INDEX(Production[Input 2],MATCH(IslandModel[[#This Row],[Building]],Production[Building],0)),"")</f>
        <v/>
      </c>
      <c r="AT38" s="78"/>
      <c r="AU38"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38"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38"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38" s="35" t="str">
        <f>IFERROR(INDEX(Production[Input 3],MATCH(IslandModel[[#This Row],[Building]],Production[Building],0)),"")</f>
        <v/>
      </c>
      <c r="AY38" s="78"/>
      <c r="AZ38"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38"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38"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38" s="35" t="str">
        <f>IFERROR(INDEX(Production[Input 4],MATCH(IslandModel[[#This Row],[Building]],Production[Building],0)),"")</f>
        <v/>
      </c>
      <c r="BD38" s="78"/>
      <c r="BE38"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38"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38"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38" s="35" t="str">
        <f>IFERROR(INDEX(Production[Input 5],MATCH(IslandModel[[#This Row],[Building]],Production[Building],0)),"")</f>
        <v/>
      </c>
      <c r="BI38" s="78"/>
      <c r="BJ38"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38"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38"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38" s="35" t="str">
        <f>IFERROR(INDEX(Production[Input 6],MATCH(IslandModel[[#This Row],[Building]],Production[Building],0)),"")</f>
        <v/>
      </c>
      <c r="BN38" s="78"/>
      <c r="BO38"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38"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38"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38" s="35" t="str">
        <f>IFERROR(INDEX(Production[Input 7],MATCH(IslandModel[[#This Row],[Building]],Production[Building],0)),"")</f>
        <v/>
      </c>
      <c r="BS38" s="78"/>
      <c r="BT38"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38"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38"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38" s="35" t="str">
        <f>IFERROR(INDEX(Production[Input 8],MATCH(IslandModel[[#This Row],[Building]],Production[Building],0)),"")</f>
        <v/>
      </c>
      <c r="BX38" s="78"/>
      <c r="BY38"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38"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38"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38" s="35" t="str">
        <f>IFERROR(INDEX(Production[Input 9],MATCH(IslandModel[[#This Row],[Building]],Production[Building],0)),"")</f>
        <v/>
      </c>
      <c r="CC38" s="78"/>
      <c r="CD38"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38"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38"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38" s="35" t="str">
        <f>IFERROR(INDEX(Production[Input 10],MATCH(IslandModel[[#This Row],[Building]],Production[Building],0)),"")</f>
        <v/>
      </c>
      <c r="CH38" s="78"/>
      <c r="CI38"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38"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38"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38"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38" s="82" t="str">
        <f>IslandModel[[#This Row],[Resource Produced]]</f>
        <v/>
      </c>
      <c r="CN38" s="42">
        <f>IslandModel[[#This Row],[Amount produced/h]]</f>
        <v>0</v>
      </c>
      <c r="CO38" s="42" t="str">
        <f>IslandModel[[#This Row],[Input 1]]</f>
        <v/>
      </c>
      <c r="CP38" s="42">
        <f>-IslandModel[[#This Row],[Input 1 Consumed]]</f>
        <v>0</v>
      </c>
      <c r="CQ38" s="42" t="str">
        <f>IslandModel[[#This Row],[Input 2]]</f>
        <v/>
      </c>
      <c r="CR38" s="42">
        <f>-IslandModel[[#This Row],[Input 2 Consumed]]</f>
        <v>0</v>
      </c>
      <c r="CS38" s="42" t="str">
        <f>IslandModel[[#This Row],[Input 3]]</f>
        <v/>
      </c>
      <c r="CT38" s="42">
        <f>-IslandModel[[#This Row],[Input 3 Consumed]]</f>
        <v>0</v>
      </c>
      <c r="CU38" s="42" t="str">
        <f>IslandModel[[#This Row],[Input 4]]</f>
        <v/>
      </c>
      <c r="CV38" s="42">
        <f>-IslandModel[[#This Row],[Input 4 Consumed]]</f>
        <v>0</v>
      </c>
      <c r="CW38" s="42" t="str">
        <f>IslandModel[[#This Row],[Input 5]]</f>
        <v/>
      </c>
      <c r="CX38" s="42">
        <f>-IslandModel[[#This Row],[Input 5 Consumed]]</f>
        <v>0</v>
      </c>
      <c r="CY38" s="42" t="str">
        <f>IslandModel[[#This Row],[Input 6]]</f>
        <v/>
      </c>
      <c r="CZ38" s="42">
        <f>-IslandModel[[#This Row],[Input 6 Consumed]]</f>
        <v>0</v>
      </c>
      <c r="DA38" s="42" t="str">
        <f>IslandModel[[#This Row],[Input 7]]</f>
        <v/>
      </c>
      <c r="DB38" s="42">
        <f>-IslandModel[[#This Row],[Input 7 Consumed]]</f>
        <v>0</v>
      </c>
      <c r="DC38" s="42" t="str">
        <f>IslandModel[[#This Row],[Input 8]]</f>
        <v/>
      </c>
      <c r="DD38" s="42">
        <f>-IslandModel[[#This Row],[Input 8 Consumed]]</f>
        <v>0</v>
      </c>
      <c r="DE38" s="42" t="str">
        <f>IslandModel[[#This Row],[Input 9]]</f>
        <v/>
      </c>
      <c r="DF38" s="42">
        <f>-IslandModel[[#This Row],[Input 9 Consumed]]</f>
        <v>0</v>
      </c>
      <c r="DG38" s="42" t="str">
        <f>IslandModel[[#This Row],[Input 10]]</f>
        <v/>
      </c>
      <c r="DH38" s="42">
        <f>-IslandModel[[#This Row],[Input 10 Consumed]]</f>
        <v>0</v>
      </c>
      <c r="DJ38" t="s">
        <v>124</v>
      </c>
      <c r="DK38" s="39">
        <f>SUM(SUMIFS(IslandModel[Resource 1 Qty],IslandModel[Resource 1],ResourceAvailable[[#This Row],[Resource]]))</f>
        <v>0</v>
      </c>
      <c r="DL38"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38" s="39">
        <f>ResourceAvailable[[#This Row],[Amount Produced]]-ResourceAvailable[[#This Row],[Amount Consumed]]</f>
        <v>0</v>
      </c>
      <c r="DN38" s="20">
        <f>MAX(0,ResourceAvailable[[#This Row],[Amount Available for Resident Consumption]]-SUMIFS(ConsumptionModel[Resource Demand],ConsumptionModel[Resource],ResourceAvailable[[#This Row],[Resource]]))</f>
        <v>0</v>
      </c>
    </row>
    <row r="39" spans="2:118" ht="21" x14ac:dyDescent="0.65">
      <c r="B39" s="178">
        <f>ROW()</f>
        <v>39</v>
      </c>
      <c r="C39" s="70">
        <f>INDEX(ConsumptionModelInputs[Quantity],MATCH(ConsumptionModel[[#This Row],[Building]],ConsumptionModelInputs[Building],0))</f>
        <v>10</v>
      </c>
      <c r="D39" s="179" t="s">
        <v>57</v>
      </c>
      <c r="E39" s="179" t="s">
        <v>116</v>
      </c>
      <c r="F39" s="191" t="str">
        <f>IF(OR(ISBLANK(ConsumptionModel[[#This Row],[Building]]),ISBLANK(ConsumptionModel[[#This Row],[Resource]]))," - ",INDEX(Consumption[Type],MATCH(ConsumptionModel[[#This Row],[LookupValue]],Consumption[LookupValue],0)))</f>
        <v>Luxury</v>
      </c>
      <c r="G39" s="61" t="str">
        <f>IF(OR(ISBLANK(ConsumptionModel[[#This Row],[Building]]),ISBLANK(ConsumptionModel[[#This Row],[Resource]]))," - ",ConsumptionModel[[#This Row],[Building]]&amp;" - "&amp;ConsumptionModel[[#This Row],[Resource]])</f>
        <v>Townsmen's House - Cigar</v>
      </c>
      <c r="H39" s="62">
        <f>ConsumptionModel[[#This Row],[Quantity]]*INDEX(Consumption[Consumption/person/h],MATCH(ConsumptionModel[[#This Row],[LookupValue]],Consumption[LookupValue],0))*IFERROR(INDEX(ResidentBuildings[Residents],MATCH(ConsumptionModel[[#This Row],[Building]],ResidentBuildings[Building],0)),0)</f>
        <v>30</v>
      </c>
      <c r="I39"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39" s="57">
        <f>IF(ConsumptionModel[[#This Row],[Quantity]]=0,"",IF(AND(ConsumptionModel[[#This Row],[Resource Demand]]=0,ConsumptionModel[[#This Row],[Resource Available]]&gt;0),1,MIN(1,IFERROR(ConsumptionModel[[#This Row],[Resource Available]]/ConsumptionModel[[#This Row],[Resource Demand]],0))))</f>
        <v>0</v>
      </c>
      <c r="K39"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39" s="197" t="s">
        <v>374</v>
      </c>
      <c r="P39" s="71">
        <f>SUMIFS(ResourceAvailable[Amount Produced],ResourceAvailable[Resource],ResourceMonitor[[#This Row],[Resource]])</f>
        <v>0</v>
      </c>
      <c r="Q39" s="71">
        <f>SUMIFS(ResourceAvailable[Amount Consumed],ResourceAvailable[Resource],ResourceMonitor[[#This Row],[Resource]])</f>
        <v>0</v>
      </c>
      <c r="R39" s="71">
        <f>SUMIFS(ResourceAvailable[Amount Available for Resident Consumption],ResourceAvailable[Resource],ResourceMonitor[[#This Row],[Resource]])</f>
        <v>0</v>
      </c>
      <c r="S39" s="39">
        <f>MAX(0,ResourceMonitor[[#This Row],[Amount Available for Resident Consumption]]-SUMIFS(ConsumptionModel[Resource Demand],ConsumptionModel[Resource],ResourceMonitor[[#This Row],[Resource]]))</f>
        <v>0</v>
      </c>
      <c r="T39" s="39">
        <f>MIN(0,ResourceMonitor[[#This Row],[Amount Available for Resident Consumption]]-SUMIFS(ConsumptionModel[Resource Demand],ConsumptionModel[Resource],ResourceMonitor[[#This Row],[Resource]]))</f>
        <v>-122.4</v>
      </c>
      <c r="U39" s="122">
        <f>IFERROR(INDEX(#REF!,MATCH(ResourceMonitor[[#This Row],[Resource]],#REF!,0)),0)</f>
        <v>0</v>
      </c>
      <c r="V39" s="194">
        <f>IFERROR(ResourceMonitor[[#This Row],[Amount Produced]]/ResourceMonitor[[#This Row],[Production Target]],0)</f>
        <v>0</v>
      </c>
      <c r="W39" s="133"/>
      <c r="X39" s="47">
        <f>IF(ResourceMonitor[[#This Row],[Ignore shipping needs?]]="Yes",0,ROUNDUP(ResourceMonitor[[#This Row],[Production Target]]/INDEX(ShipRequirementCalculator[Cargo capacity/h (return, 50% empty)],MATCH($X$15,ShipRequirementCalculator[Ship],0)),0))</f>
        <v>0</v>
      </c>
      <c r="Y39" s="47">
        <f>IF(ResourceMonitor[[#This Row],[Ignore shipping needs?]]="Yes",0,ROUNDUP(ResourceMonitor[[#This Row],[Production Target]]/INDEX(ShipRequirementCalculator[Cargo capacity/h (return, 50% empty)],MATCH($Y$15,ShipRequirementCalculator[Ship],0)),0))</f>
        <v>0</v>
      </c>
      <c r="Z39" s="47">
        <f>IF(ResourceMonitor[[#This Row],[Ignore shipping needs?]]="Yes",0,ROUNDUP(ResourceMonitor[[#This Row],[Production Target]]/INDEX(ShipRequirementCalculator[Cargo capacity/h (return, 50% empty)],MATCH($Z$15,ShipRequirementCalculator[Ship],0)),0))</f>
        <v>0</v>
      </c>
      <c r="AA39" s="124"/>
      <c r="AD39" s="83">
        <f>ROW()</f>
        <v>39</v>
      </c>
      <c r="AE39" s="106"/>
      <c r="AF39" s="72"/>
      <c r="AG39" s="18"/>
      <c r="AH39" s="18"/>
      <c r="AI39" s="156">
        <f>IFERROR(IslandModel[[#This Row],[Quantity]]/IslandModel[[#This Row],[Target Quantity]],0)</f>
        <v>0</v>
      </c>
      <c r="AJ39" s="61" t="str">
        <f>IFERROR(INDEX(Production[Resource Produced],MATCH(IslandModel[[#This Row],[Building]],Production[Building],0)),"")</f>
        <v/>
      </c>
      <c r="AK39" s="99">
        <f>IFERROR(IslandModel[[#This Row],[Quantity]]*INDEX(Production[Production in 1h],MATCH(IslandModel[[#This Row],[Building]],Production[Building],0))*IslandModel[[#This Row],[Input Consumption Multiplier]],0)</f>
        <v>0</v>
      </c>
      <c r="AL39" s="115">
        <f>100%</f>
        <v>1</v>
      </c>
      <c r="AM39"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39" s="77" t="str">
        <f>IFERROR(INDEX(Production[Input 1],MATCH(IslandModel[[#This Row],[Building]],Production[Building],0)),"")</f>
        <v/>
      </c>
      <c r="AO39" s="78"/>
      <c r="AP39"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39"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39"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39" s="35" t="str">
        <f>IFERROR(INDEX(Production[Input 2],MATCH(IslandModel[[#This Row],[Building]],Production[Building],0)),"")</f>
        <v/>
      </c>
      <c r="AT39" s="78"/>
      <c r="AU39"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39"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39"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39" s="35" t="str">
        <f>IFERROR(INDEX(Production[Input 3],MATCH(IslandModel[[#This Row],[Building]],Production[Building],0)),"")</f>
        <v/>
      </c>
      <c r="AY39" s="78"/>
      <c r="AZ39"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39"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39"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39" s="35" t="str">
        <f>IFERROR(INDEX(Production[Input 4],MATCH(IslandModel[[#This Row],[Building]],Production[Building],0)),"")</f>
        <v/>
      </c>
      <c r="BD39" s="78"/>
      <c r="BE39"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39"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39"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39" s="35" t="str">
        <f>IFERROR(INDEX(Production[Input 5],MATCH(IslandModel[[#This Row],[Building]],Production[Building],0)),"")</f>
        <v/>
      </c>
      <c r="BI39" s="78"/>
      <c r="BJ39"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39"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39"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39" s="35" t="str">
        <f>IFERROR(INDEX(Production[Input 6],MATCH(IslandModel[[#This Row],[Building]],Production[Building],0)),"")</f>
        <v/>
      </c>
      <c r="BN39" s="78"/>
      <c r="BO39"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39"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39"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39" s="35" t="str">
        <f>IFERROR(INDEX(Production[Input 7],MATCH(IslandModel[[#This Row],[Building]],Production[Building],0)),"")</f>
        <v/>
      </c>
      <c r="BS39" s="78"/>
      <c r="BT39"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39"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39"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39" s="35" t="str">
        <f>IFERROR(INDEX(Production[Input 8],MATCH(IslandModel[[#This Row],[Building]],Production[Building],0)),"")</f>
        <v/>
      </c>
      <c r="BX39" s="78"/>
      <c r="BY39"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39"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39"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39" s="35" t="str">
        <f>IFERROR(INDEX(Production[Input 9],MATCH(IslandModel[[#This Row],[Building]],Production[Building],0)),"")</f>
        <v/>
      </c>
      <c r="CC39" s="78"/>
      <c r="CD39"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39"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39"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39" s="35" t="str">
        <f>IFERROR(INDEX(Production[Input 10],MATCH(IslandModel[[#This Row],[Building]],Production[Building],0)),"")</f>
        <v/>
      </c>
      <c r="CH39" s="78"/>
      <c r="CI39"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39"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39"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39"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39" s="82" t="str">
        <f>IslandModel[[#This Row],[Resource Produced]]</f>
        <v/>
      </c>
      <c r="CN39" s="42">
        <f>IslandModel[[#This Row],[Amount produced/h]]</f>
        <v>0</v>
      </c>
      <c r="CO39" s="42" t="str">
        <f>IslandModel[[#This Row],[Input 1]]</f>
        <v/>
      </c>
      <c r="CP39" s="42">
        <f>-IslandModel[[#This Row],[Input 1 Consumed]]</f>
        <v>0</v>
      </c>
      <c r="CQ39" s="42" t="str">
        <f>IslandModel[[#This Row],[Input 2]]</f>
        <v/>
      </c>
      <c r="CR39" s="42">
        <f>-IslandModel[[#This Row],[Input 2 Consumed]]</f>
        <v>0</v>
      </c>
      <c r="CS39" s="42" t="str">
        <f>IslandModel[[#This Row],[Input 3]]</f>
        <v/>
      </c>
      <c r="CT39" s="42">
        <f>-IslandModel[[#This Row],[Input 3 Consumed]]</f>
        <v>0</v>
      </c>
      <c r="CU39" s="42" t="str">
        <f>IslandModel[[#This Row],[Input 4]]</f>
        <v/>
      </c>
      <c r="CV39" s="42">
        <f>-IslandModel[[#This Row],[Input 4 Consumed]]</f>
        <v>0</v>
      </c>
      <c r="CW39" s="42" t="str">
        <f>IslandModel[[#This Row],[Input 5]]</f>
        <v/>
      </c>
      <c r="CX39" s="42">
        <f>-IslandModel[[#This Row],[Input 5 Consumed]]</f>
        <v>0</v>
      </c>
      <c r="CY39" s="42" t="str">
        <f>IslandModel[[#This Row],[Input 6]]</f>
        <v/>
      </c>
      <c r="CZ39" s="42">
        <f>-IslandModel[[#This Row],[Input 6 Consumed]]</f>
        <v>0</v>
      </c>
      <c r="DA39" s="42" t="str">
        <f>IslandModel[[#This Row],[Input 7]]</f>
        <v/>
      </c>
      <c r="DB39" s="42">
        <f>-IslandModel[[#This Row],[Input 7 Consumed]]</f>
        <v>0</v>
      </c>
      <c r="DC39" s="42" t="str">
        <f>IslandModel[[#This Row],[Input 8]]</f>
        <v/>
      </c>
      <c r="DD39" s="42">
        <f>-IslandModel[[#This Row],[Input 8 Consumed]]</f>
        <v>0</v>
      </c>
      <c r="DE39" s="42" t="str">
        <f>IslandModel[[#This Row],[Input 9]]</f>
        <v/>
      </c>
      <c r="DF39" s="42">
        <f>-IslandModel[[#This Row],[Input 9 Consumed]]</f>
        <v>0</v>
      </c>
      <c r="DG39" s="42" t="str">
        <f>IslandModel[[#This Row],[Input 10]]</f>
        <v/>
      </c>
      <c r="DH39" s="42">
        <f>-IslandModel[[#This Row],[Input 10 Consumed]]</f>
        <v>0</v>
      </c>
      <c r="DJ39" s="55" t="s">
        <v>82</v>
      </c>
      <c r="DK39" s="39">
        <f>SUM(SUMIFS(IslandModel[Resource 1 Qty],IslandModel[Resource 1],ResourceAvailable[[#This Row],[Resource]]))</f>
        <v>0</v>
      </c>
      <c r="DL39"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39" s="39">
        <f>ResourceAvailable[[#This Row],[Amount Produced]]-ResourceAvailable[[#This Row],[Amount Consumed]]</f>
        <v>0</v>
      </c>
      <c r="DN39" s="20">
        <f>MAX(0,ResourceAvailable[[#This Row],[Amount Available for Resident Consumption]]-SUMIFS(ConsumptionModel[Resource Demand],ConsumptionModel[Resource],ResourceAvailable[[#This Row],[Resource]]))</f>
        <v>0</v>
      </c>
    </row>
    <row r="40" spans="2:118" ht="21.4" thickBot="1" x14ac:dyDescent="0.7">
      <c r="B40" s="181">
        <f>ROW()</f>
        <v>40</v>
      </c>
      <c r="C40" s="182">
        <f>INDEX(ConsumptionModelInputs[Quantity],MATCH(ConsumptionModel[[#This Row],[Building]],ConsumptionModelInputs[Building],0))</f>
        <v>10</v>
      </c>
      <c r="D40" s="183" t="s">
        <v>57</v>
      </c>
      <c r="E40" s="183" t="s">
        <v>332</v>
      </c>
      <c r="F40" s="192" t="str">
        <f>IF(OR(ISBLANK(ConsumptionModel[[#This Row],[Building]]),ISBLANK(ConsumptionModel[[#This Row],[Resource]]))," - ",INDEX(Consumption[Type],MATCH(ConsumptionModel[[#This Row],[LookupValue]],Consumption[LookupValue],0)))</f>
        <v>Luxury</v>
      </c>
      <c r="G40" s="185" t="str">
        <f>IF(OR(ISBLANK(ConsumptionModel[[#This Row],[Building]]),ISBLANK(ConsumptionModel[[#This Row],[Resource]]))," - ",ConsumptionModel[[#This Row],[Building]]&amp;" - "&amp;ConsumptionModel[[#This Row],[Resource]])</f>
        <v>Townsmen's House - Education</v>
      </c>
      <c r="H40" s="186">
        <f>ConsumptionModel[[#This Row],[Quantity]]*INDEX(Consumption[Consumption/person/h],MATCH(ConsumptionModel[[#This Row],[LookupValue]],Consumption[LookupValue],0))*IFERROR(INDEX(ResidentBuildings[Residents],MATCH(ConsumptionModel[[#This Row],[Building]],ResidentBuildings[Building],0)),0)</f>
        <v>0</v>
      </c>
      <c r="I40" s="186">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40" s="193">
        <f>IF(ConsumptionModel[[#This Row],[Quantity]]=0,"",IF(AND(ConsumptionModel[[#This Row],[Resource Demand]]=0,ConsumptionModel[[#This Row],[Resource Available]]&gt;0),1,MIN(1,IFERROR(ConsumptionModel[[#This Row],[Resource Available]]/ConsumptionModel[[#This Row],[Resource Demand]],0))))</f>
        <v>0</v>
      </c>
      <c r="K40" s="188">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40" s="197" t="s">
        <v>660</v>
      </c>
      <c r="P40" s="71">
        <f>SUMIFS(ResourceAvailable[Amount Produced],ResourceAvailable[Resource],ResourceMonitor[[#This Row],[Resource]])</f>
        <v>0</v>
      </c>
      <c r="Q40" s="71">
        <f>SUMIFS(ResourceAvailable[Amount Consumed],ResourceAvailable[Resource],ResourceMonitor[[#This Row],[Resource]])</f>
        <v>0</v>
      </c>
      <c r="R40" s="71">
        <f>SUMIFS(ResourceAvailable[Amount Available for Resident Consumption],ResourceAvailable[Resource],ResourceMonitor[[#This Row],[Resource]])</f>
        <v>0</v>
      </c>
      <c r="S40" s="39">
        <f>MAX(0,ResourceMonitor[[#This Row],[Amount Available for Resident Consumption]]-SUMIFS(ConsumptionModel[Resource Demand],ConsumptionModel[Resource],ResourceMonitor[[#This Row],[Resource]]))</f>
        <v>0</v>
      </c>
      <c r="T40" s="39">
        <f>MIN(0,ResourceMonitor[[#This Row],[Amount Available for Resident Consumption]]-SUMIFS(ConsumptionModel[Resource Demand],ConsumptionModel[Resource],ResourceMonitor[[#This Row],[Resource]]))</f>
        <v>-183.60000000000002</v>
      </c>
      <c r="U40" s="122">
        <f>IFERROR(INDEX(#REF!,MATCH(ResourceMonitor[[#This Row],[Resource]],#REF!,0)),0)</f>
        <v>0</v>
      </c>
      <c r="V40" s="194">
        <f>IFERROR(ResourceMonitor[[#This Row],[Amount Produced]]/ResourceMonitor[[#This Row],[Production Target]],0)</f>
        <v>0</v>
      </c>
      <c r="W40" s="133"/>
      <c r="X40" s="47">
        <f>IF(ResourceMonitor[[#This Row],[Ignore shipping needs?]]="Yes",0,ROUNDUP(ResourceMonitor[[#This Row],[Production Target]]/INDEX(ShipRequirementCalculator[Cargo capacity/h (return, 50% empty)],MATCH($X$15,ShipRequirementCalculator[Ship],0)),0))</f>
        <v>0</v>
      </c>
      <c r="Y40" s="47">
        <f>IF(ResourceMonitor[[#This Row],[Ignore shipping needs?]]="Yes",0,ROUNDUP(ResourceMonitor[[#This Row],[Production Target]]/INDEX(ShipRequirementCalculator[Cargo capacity/h (return, 50% empty)],MATCH($Y$15,ShipRequirementCalculator[Ship],0)),0))</f>
        <v>0</v>
      </c>
      <c r="Z40" s="47">
        <f>IF(ResourceMonitor[[#This Row],[Ignore shipping needs?]]="Yes",0,ROUNDUP(ResourceMonitor[[#This Row],[Production Target]]/INDEX(ShipRequirementCalculator[Cargo capacity/h (return, 50% empty)],MATCH($Z$15,ShipRequirementCalculator[Ship],0)),0))</f>
        <v>0</v>
      </c>
      <c r="AA40" s="124"/>
      <c r="AD40" s="83">
        <f>ROW()</f>
        <v>40</v>
      </c>
      <c r="AE40" s="106"/>
      <c r="AF40" s="72"/>
      <c r="AG40" s="18"/>
      <c r="AH40" s="18"/>
      <c r="AI40" s="156">
        <f>IFERROR(IslandModel[[#This Row],[Quantity]]/IslandModel[[#This Row],[Target Quantity]],0)</f>
        <v>0</v>
      </c>
      <c r="AJ40" s="61" t="str">
        <f>IFERROR(INDEX(Production[Resource Produced],MATCH(IslandModel[[#This Row],[Building]],Production[Building],0)),"")</f>
        <v/>
      </c>
      <c r="AK40" s="99">
        <f>IFERROR(IslandModel[[#This Row],[Quantity]]*INDEX(Production[Production in 1h],MATCH(IslandModel[[#This Row],[Building]],Production[Building],0))*IslandModel[[#This Row],[Input Consumption Multiplier]],0)</f>
        <v>0</v>
      </c>
      <c r="AL40" s="115">
        <f>100%</f>
        <v>1</v>
      </c>
      <c r="AM40"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40" s="77" t="str">
        <f>IFERROR(INDEX(Production[Input 1],MATCH(IslandModel[[#This Row],[Building]],Production[Building],0)),"")</f>
        <v/>
      </c>
      <c r="AO40" s="78"/>
      <c r="AP40"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40"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40"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40" s="35" t="str">
        <f>IFERROR(INDEX(Production[Input 2],MATCH(IslandModel[[#This Row],[Building]],Production[Building],0)),"")</f>
        <v/>
      </c>
      <c r="AT40" s="78"/>
      <c r="AU40"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40"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40"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40" s="35" t="str">
        <f>IFERROR(INDEX(Production[Input 3],MATCH(IslandModel[[#This Row],[Building]],Production[Building],0)),"")</f>
        <v/>
      </c>
      <c r="AY40" s="78"/>
      <c r="AZ40"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40"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40"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40" s="35" t="str">
        <f>IFERROR(INDEX(Production[Input 4],MATCH(IslandModel[[#This Row],[Building]],Production[Building],0)),"")</f>
        <v/>
      </c>
      <c r="BD40" s="78"/>
      <c r="BE40"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40"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40"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40" s="35" t="str">
        <f>IFERROR(INDEX(Production[Input 5],MATCH(IslandModel[[#This Row],[Building]],Production[Building],0)),"")</f>
        <v/>
      </c>
      <c r="BI40" s="78"/>
      <c r="BJ40"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40"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40"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40" s="35" t="str">
        <f>IFERROR(INDEX(Production[Input 6],MATCH(IslandModel[[#This Row],[Building]],Production[Building],0)),"")</f>
        <v/>
      </c>
      <c r="BN40" s="78"/>
      <c r="BO40"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40"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40"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40" s="35" t="str">
        <f>IFERROR(INDEX(Production[Input 7],MATCH(IslandModel[[#This Row],[Building]],Production[Building],0)),"")</f>
        <v/>
      </c>
      <c r="BS40" s="78"/>
      <c r="BT40"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40"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40"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40" s="35" t="str">
        <f>IFERROR(INDEX(Production[Input 8],MATCH(IslandModel[[#This Row],[Building]],Production[Building],0)),"")</f>
        <v/>
      </c>
      <c r="BX40" s="78"/>
      <c r="BY40"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40"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40"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40" s="35" t="str">
        <f>IFERROR(INDEX(Production[Input 9],MATCH(IslandModel[[#This Row],[Building]],Production[Building],0)),"")</f>
        <v/>
      </c>
      <c r="CC40" s="78"/>
      <c r="CD40"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40"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40"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40" s="35" t="str">
        <f>IFERROR(INDEX(Production[Input 10],MATCH(IslandModel[[#This Row],[Building]],Production[Building],0)),"")</f>
        <v/>
      </c>
      <c r="CH40" s="78"/>
      <c r="CI40"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40"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40"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40"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40" s="82" t="str">
        <f>IslandModel[[#This Row],[Resource Produced]]</f>
        <v/>
      </c>
      <c r="CN40" s="42">
        <f>IslandModel[[#This Row],[Amount produced/h]]</f>
        <v>0</v>
      </c>
      <c r="CO40" s="42" t="str">
        <f>IslandModel[[#This Row],[Input 1]]</f>
        <v/>
      </c>
      <c r="CP40" s="42">
        <f>-IslandModel[[#This Row],[Input 1 Consumed]]</f>
        <v>0</v>
      </c>
      <c r="CQ40" s="42" t="str">
        <f>IslandModel[[#This Row],[Input 2]]</f>
        <v/>
      </c>
      <c r="CR40" s="42">
        <f>-IslandModel[[#This Row],[Input 2 Consumed]]</f>
        <v>0</v>
      </c>
      <c r="CS40" s="42" t="str">
        <f>IslandModel[[#This Row],[Input 3]]</f>
        <v/>
      </c>
      <c r="CT40" s="42">
        <f>-IslandModel[[#This Row],[Input 3 Consumed]]</f>
        <v>0</v>
      </c>
      <c r="CU40" s="42" t="str">
        <f>IslandModel[[#This Row],[Input 4]]</f>
        <v/>
      </c>
      <c r="CV40" s="42">
        <f>-IslandModel[[#This Row],[Input 4 Consumed]]</f>
        <v>0</v>
      </c>
      <c r="CW40" s="42" t="str">
        <f>IslandModel[[#This Row],[Input 5]]</f>
        <v/>
      </c>
      <c r="CX40" s="42">
        <f>-IslandModel[[#This Row],[Input 5 Consumed]]</f>
        <v>0</v>
      </c>
      <c r="CY40" s="42" t="str">
        <f>IslandModel[[#This Row],[Input 6]]</f>
        <v/>
      </c>
      <c r="CZ40" s="42">
        <f>-IslandModel[[#This Row],[Input 6 Consumed]]</f>
        <v>0</v>
      </c>
      <c r="DA40" s="42" t="str">
        <f>IslandModel[[#This Row],[Input 7]]</f>
        <v/>
      </c>
      <c r="DB40" s="42">
        <f>-IslandModel[[#This Row],[Input 7 Consumed]]</f>
        <v>0</v>
      </c>
      <c r="DC40" s="42" t="str">
        <f>IslandModel[[#This Row],[Input 8]]</f>
        <v/>
      </c>
      <c r="DD40" s="42">
        <f>-IslandModel[[#This Row],[Input 8 Consumed]]</f>
        <v>0</v>
      </c>
      <c r="DE40" s="42" t="str">
        <f>IslandModel[[#This Row],[Input 9]]</f>
        <v/>
      </c>
      <c r="DF40" s="42">
        <f>-IslandModel[[#This Row],[Input 9 Consumed]]</f>
        <v>0</v>
      </c>
      <c r="DG40" s="42" t="str">
        <f>IslandModel[[#This Row],[Input 10]]</f>
        <v/>
      </c>
      <c r="DH40" s="42">
        <f>-IslandModel[[#This Row],[Input 10 Consumed]]</f>
        <v>0</v>
      </c>
      <c r="DJ40" t="s">
        <v>137</v>
      </c>
      <c r="DK40" s="39">
        <f>SUM(SUMIFS(IslandModel[Resource 1 Qty],IslandModel[Resource 1],ResourceAvailable[[#This Row],[Resource]]))</f>
        <v>0</v>
      </c>
      <c r="DL40"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40" s="39">
        <f>ResourceAvailable[[#This Row],[Amount Produced]]-ResourceAvailable[[#This Row],[Amount Consumed]]</f>
        <v>0</v>
      </c>
      <c r="DN40" s="20">
        <f>MAX(0,ResourceAvailable[[#This Row],[Amount Available for Resident Consumption]]-SUMIFS(ConsumptionModel[Resource Demand],ConsumptionModel[Resource],ResourceAvailable[[#This Row],[Resource]]))</f>
        <v>0</v>
      </c>
    </row>
    <row r="41" spans="2:118" ht="21" x14ac:dyDescent="0.65">
      <c r="B41" s="170">
        <f>ROW()</f>
        <v>41</v>
      </c>
      <c r="C41" s="171">
        <f>INDEX(ConsumptionModelInputs[Quantity],MATCH(ConsumptionModel[[#This Row],[Building]],ConsumptionModelInputs[Building],0))</f>
        <v>12</v>
      </c>
      <c r="D41" s="172" t="s">
        <v>58</v>
      </c>
      <c r="E41" s="172" t="s">
        <v>330</v>
      </c>
      <c r="F41" s="173" t="str">
        <f>IF(OR(ISBLANK(ConsumptionModel[[#This Row],[Building]]),ISBLANK(ConsumptionModel[[#This Row],[Resource]]))," - ",INDEX(Consumption[Type],MATCH(ConsumptionModel[[#This Row],[LookupValue]],Consumption[LookupValue],0)))</f>
        <v>Need</v>
      </c>
      <c r="G41" s="174" t="str">
        <f>IF(OR(ISBLANK(ConsumptionModel[[#This Row],[Building]]),ISBLANK(ConsumptionModel[[#This Row],[Resource]]))," - ",ConsumptionModel[[#This Row],[Building]]&amp;" - "&amp;ConsumptionModel[[#This Row],[Resource]])</f>
        <v>Merchant's Mansion - Water</v>
      </c>
      <c r="H41" s="175">
        <f>ConsumptionModel[[#This Row],[Quantity]]*INDEX(Consumption[Consumption/person/h],MATCH(ConsumptionModel[[#This Row],[LookupValue]],Consumption[LookupValue],0))*IFERROR(INDEX(ResidentBuildings[Residents],MATCH(ConsumptionModel[[#This Row],[Building]],ResidentBuildings[Building],0)),0)</f>
        <v>0</v>
      </c>
      <c r="I41" s="175">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41" s="176">
        <f>IF(ConsumptionModel[[#This Row],[Quantity]]=0,"",IF(AND(ConsumptionModel[[#This Row],[Resource Demand]]=0,ConsumptionModel[[#This Row],[Resource Available]]&gt;0),1,MIN(1,IFERROR(ConsumptionModel[[#This Row],[Resource Available]]/ConsumptionModel[[#This Row],[Resource Demand]],0))))</f>
        <v>0</v>
      </c>
      <c r="K41" s="177">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41" s="197" t="s">
        <v>379</v>
      </c>
      <c r="P41" s="71">
        <f>SUMIFS(ResourceAvailable[Amount Produced],ResourceAvailable[Resource],ResourceMonitor[[#This Row],[Resource]])</f>
        <v>0</v>
      </c>
      <c r="Q41" s="71">
        <f>SUMIFS(ResourceAvailable[Amount Consumed],ResourceAvailable[Resource],ResourceMonitor[[#This Row],[Resource]])</f>
        <v>0</v>
      </c>
      <c r="R41" s="71">
        <f>SUMIFS(ResourceAvailable[Amount Available for Resident Consumption],ResourceAvailable[Resource],ResourceMonitor[[#This Row],[Resource]])</f>
        <v>0</v>
      </c>
      <c r="S41" s="39">
        <f>MAX(0,ResourceMonitor[[#This Row],[Amount Available for Resident Consumption]]-SUMIFS(ConsumptionModel[Resource Demand],ConsumptionModel[Resource],ResourceMonitor[[#This Row],[Resource]]))</f>
        <v>0</v>
      </c>
      <c r="T41" s="39">
        <f>MIN(0,ResourceMonitor[[#This Row],[Amount Available for Resident Consumption]]-SUMIFS(ConsumptionModel[Resource Demand],ConsumptionModel[Resource],ResourceMonitor[[#This Row],[Resource]]))</f>
        <v>-367.20000000000005</v>
      </c>
      <c r="U41" s="122">
        <f>IFERROR(INDEX(#REF!,MATCH(ResourceMonitor[[#This Row],[Resource]],#REF!,0)),0)</f>
        <v>0</v>
      </c>
      <c r="V41" s="194">
        <f>IFERROR(ResourceMonitor[[#This Row],[Amount Produced]]/ResourceMonitor[[#This Row],[Production Target]],0)</f>
        <v>0</v>
      </c>
      <c r="W41" s="133"/>
      <c r="X41" s="47">
        <f>IF(ResourceMonitor[[#This Row],[Ignore shipping needs?]]="Yes",0,ROUNDUP(ResourceMonitor[[#This Row],[Production Target]]/INDEX(ShipRequirementCalculator[Cargo capacity/h (return, 50% empty)],MATCH($X$15,ShipRequirementCalculator[Ship],0)),0))</f>
        <v>0</v>
      </c>
      <c r="Y41" s="47">
        <f>IF(ResourceMonitor[[#This Row],[Ignore shipping needs?]]="Yes",0,ROUNDUP(ResourceMonitor[[#This Row],[Production Target]]/INDEX(ShipRequirementCalculator[Cargo capacity/h (return, 50% empty)],MATCH($Y$15,ShipRequirementCalculator[Ship],0)),0))</f>
        <v>0</v>
      </c>
      <c r="Z41" s="47">
        <f>IF(ResourceMonitor[[#This Row],[Ignore shipping needs?]]="Yes",0,ROUNDUP(ResourceMonitor[[#This Row],[Production Target]]/INDEX(ShipRequirementCalculator[Cargo capacity/h (return, 50% empty)],MATCH($Z$15,ShipRequirementCalculator[Ship],0)),0))</f>
        <v>0</v>
      </c>
      <c r="AA41" s="124"/>
      <c r="AD41" s="83">
        <f>ROW()</f>
        <v>41</v>
      </c>
      <c r="AE41" s="106"/>
      <c r="AF41" s="72"/>
      <c r="AG41" s="18"/>
      <c r="AH41" s="18"/>
      <c r="AI41" s="156">
        <f>IFERROR(IslandModel[[#This Row],[Quantity]]/IslandModel[[#This Row],[Target Quantity]],0)</f>
        <v>0</v>
      </c>
      <c r="AJ41" s="61" t="str">
        <f>IFERROR(INDEX(Production[Resource Produced],MATCH(IslandModel[[#This Row],[Building]],Production[Building],0)),"")</f>
        <v/>
      </c>
      <c r="AK41" s="99">
        <f>IFERROR(IslandModel[[#This Row],[Quantity]]*INDEX(Production[Production in 1h],MATCH(IslandModel[[#This Row],[Building]],Production[Building],0))*IslandModel[[#This Row],[Input Consumption Multiplier]],0)</f>
        <v>0</v>
      </c>
      <c r="AL41" s="115">
        <f>100%</f>
        <v>1</v>
      </c>
      <c r="AM41"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41" s="77" t="str">
        <f>IFERROR(INDEX(Production[Input 1],MATCH(IslandModel[[#This Row],[Building]],Production[Building],0)),"")</f>
        <v/>
      </c>
      <c r="AO41" s="78"/>
      <c r="AP41"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41"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41"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41" s="35" t="str">
        <f>IFERROR(INDEX(Production[Input 2],MATCH(IslandModel[[#This Row],[Building]],Production[Building],0)),"")</f>
        <v/>
      </c>
      <c r="AT41" s="78"/>
      <c r="AU41"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41"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41"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41" s="35" t="str">
        <f>IFERROR(INDEX(Production[Input 3],MATCH(IslandModel[[#This Row],[Building]],Production[Building],0)),"")</f>
        <v/>
      </c>
      <c r="AY41" s="78"/>
      <c r="AZ41"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41"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41"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41" s="35" t="str">
        <f>IFERROR(INDEX(Production[Input 4],MATCH(IslandModel[[#This Row],[Building]],Production[Building],0)),"")</f>
        <v/>
      </c>
      <c r="BD41" s="78"/>
      <c r="BE41"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41"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41"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41" s="35" t="str">
        <f>IFERROR(INDEX(Production[Input 5],MATCH(IslandModel[[#This Row],[Building]],Production[Building],0)),"")</f>
        <v/>
      </c>
      <c r="BI41" s="78"/>
      <c r="BJ41"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41"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41"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41" s="35" t="str">
        <f>IFERROR(INDEX(Production[Input 6],MATCH(IslandModel[[#This Row],[Building]],Production[Building],0)),"")</f>
        <v/>
      </c>
      <c r="BN41" s="78"/>
      <c r="BO41"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41"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41"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41" s="35" t="str">
        <f>IFERROR(INDEX(Production[Input 7],MATCH(IslandModel[[#This Row],[Building]],Production[Building],0)),"")</f>
        <v/>
      </c>
      <c r="BS41" s="78"/>
      <c r="BT41"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41"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41"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41" s="35" t="str">
        <f>IFERROR(INDEX(Production[Input 8],MATCH(IslandModel[[#This Row],[Building]],Production[Building],0)),"")</f>
        <v/>
      </c>
      <c r="BX41" s="78"/>
      <c r="BY41"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41"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41"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41" s="35" t="str">
        <f>IFERROR(INDEX(Production[Input 9],MATCH(IslandModel[[#This Row],[Building]],Production[Building],0)),"")</f>
        <v/>
      </c>
      <c r="CC41" s="78"/>
      <c r="CD41"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41"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41"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41" s="35" t="str">
        <f>IFERROR(INDEX(Production[Input 10],MATCH(IslandModel[[#This Row],[Building]],Production[Building],0)),"")</f>
        <v/>
      </c>
      <c r="CH41" s="78"/>
      <c r="CI41"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41"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41"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41"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41" s="82" t="str">
        <f>IslandModel[[#This Row],[Resource Produced]]</f>
        <v/>
      </c>
      <c r="CN41" s="42">
        <f>IslandModel[[#This Row],[Amount produced/h]]</f>
        <v>0</v>
      </c>
      <c r="CO41" s="42" t="str">
        <f>IslandModel[[#This Row],[Input 1]]</f>
        <v/>
      </c>
      <c r="CP41" s="42">
        <f>-IslandModel[[#This Row],[Input 1 Consumed]]</f>
        <v>0</v>
      </c>
      <c r="CQ41" s="42" t="str">
        <f>IslandModel[[#This Row],[Input 2]]</f>
        <v/>
      </c>
      <c r="CR41" s="42">
        <f>-IslandModel[[#This Row],[Input 2 Consumed]]</f>
        <v>0</v>
      </c>
      <c r="CS41" s="42" t="str">
        <f>IslandModel[[#This Row],[Input 3]]</f>
        <v/>
      </c>
      <c r="CT41" s="42">
        <f>-IslandModel[[#This Row],[Input 3 Consumed]]</f>
        <v>0</v>
      </c>
      <c r="CU41" s="42" t="str">
        <f>IslandModel[[#This Row],[Input 4]]</f>
        <v/>
      </c>
      <c r="CV41" s="42">
        <f>-IslandModel[[#This Row],[Input 4 Consumed]]</f>
        <v>0</v>
      </c>
      <c r="CW41" s="42" t="str">
        <f>IslandModel[[#This Row],[Input 5]]</f>
        <v/>
      </c>
      <c r="CX41" s="42">
        <f>-IslandModel[[#This Row],[Input 5 Consumed]]</f>
        <v>0</v>
      </c>
      <c r="CY41" s="42" t="str">
        <f>IslandModel[[#This Row],[Input 6]]</f>
        <v/>
      </c>
      <c r="CZ41" s="42">
        <f>-IslandModel[[#This Row],[Input 6 Consumed]]</f>
        <v>0</v>
      </c>
      <c r="DA41" s="42" t="str">
        <f>IslandModel[[#This Row],[Input 7]]</f>
        <v/>
      </c>
      <c r="DB41" s="42">
        <f>-IslandModel[[#This Row],[Input 7 Consumed]]</f>
        <v>0</v>
      </c>
      <c r="DC41" s="42" t="str">
        <f>IslandModel[[#This Row],[Input 8]]</f>
        <v/>
      </c>
      <c r="DD41" s="42">
        <f>-IslandModel[[#This Row],[Input 8 Consumed]]</f>
        <v>0</v>
      </c>
      <c r="DE41" s="42" t="str">
        <f>IslandModel[[#This Row],[Input 9]]</f>
        <v/>
      </c>
      <c r="DF41" s="42">
        <f>-IslandModel[[#This Row],[Input 9 Consumed]]</f>
        <v>0</v>
      </c>
      <c r="DG41" s="42" t="str">
        <f>IslandModel[[#This Row],[Input 10]]</f>
        <v/>
      </c>
      <c r="DH41" s="42">
        <f>-IslandModel[[#This Row],[Input 10 Consumed]]</f>
        <v>0</v>
      </c>
      <c r="DJ41" t="s">
        <v>120</v>
      </c>
      <c r="DK41" s="39">
        <f>SUM(SUMIFS(IslandModel[Resource 1 Qty],IslandModel[Resource 1],ResourceAvailable[[#This Row],[Resource]]))</f>
        <v>0</v>
      </c>
      <c r="DL41"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41" s="39">
        <f>ResourceAvailable[[#This Row],[Amount Produced]]-ResourceAvailable[[#This Row],[Amount Consumed]]</f>
        <v>0</v>
      </c>
      <c r="DN41" s="20">
        <f>MAX(0,ResourceAvailable[[#This Row],[Amount Available for Resident Consumption]]-SUMIFS(ConsumptionModel[Resource Demand],ConsumptionModel[Resource],ResourceAvailable[[#This Row],[Resource]]))</f>
        <v>0</v>
      </c>
    </row>
    <row r="42" spans="2:118" ht="21" x14ac:dyDescent="0.65">
      <c r="B42" s="178">
        <f>ROW()</f>
        <v>42</v>
      </c>
      <c r="C42" s="70">
        <f>INDEX(ConsumptionModelInputs[Quantity],MATCH(ConsumptionModel[[#This Row],[Building]],ConsumptionModelInputs[Building],0))</f>
        <v>12</v>
      </c>
      <c r="D42" s="179" t="s">
        <v>58</v>
      </c>
      <c r="E42" s="179" t="s">
        <v>331</v>
      </c>
      <c r="F42" s="64" t="str">
        <f>IF(OR(ISBLANK(ConsumptionModel[[#This Row],[Building]]),ISBLANK(ConsumptionModel[[#This Row],[Resource]]))," - ",INDEX(Consumption[Type],MATCH(ConsumptionModel[[#This Row],[LookupValue]],Consumption[LookupValue],0)))</f>
        <v>Need</v>
      </c>
      <c r="G42" s="61" t="str">
        <f>IF(OR(ISBLANK(ConsumptionModel[[#This Row],[Building]]),ISBLANK(ConsumptionModel[[#This Row],[Resource]]))," - ",ConsumptionModel[[#This Row],[Building]]&amp;" - "&amp;ConsumptionModel[[#This Row],[Resource]])</f>
        <v>Merchant's Mansion - Community</v>
      </c>
      <c r="H42" s="62">
        <f>ConsumptionModel[[#This Row],[Quantity]]*INDEX(Consumption[Consumption/person/h],MATCH(ConsumptionModel[[#This Row],[LookupValue]],Consumption[LookupValue],0))*IFERROR(INDEX(ResidentBuildings[Residents],MATCH(ConsumptionModel[[#This Row],[Building]],ResidentBuildings[Building],0)),0)</f>
        <v>0</v>
      </c>
      <c r="I42"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42" s="65">
        <f>IF(ConsumptionModel[[#This Row],[Quantity]]=0,"",IF(AND(ConsumptionModel[[#This Row],[Resource Demand]]=0,ConsumptionModel[[#This Row],[Resource Available]]&gt;0),1,MIN(1,IFERROR(ConsumptionModel[[#This Row],[Resource Available]]/ConsumptionModel[[#This Row],[Resource Demand]],0))))</f>
        <v>0</v>
      </c>
      <c r="K42"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42" s="197" t="s">
        <v>382</v>
      </c>
      <c r="P42" s="71">
        <f>SUMIFS(ResourceAvailable[Amount Produced],ResourceAvailable[Resource],ResourceMonitor[[#This Row],[Resource]])</f>
        <v>0</v>
      </c>
      <c r="Q42" s="71">
        <f>SUMIFS(ResourceAvailable[Amount Consumed],ResourceAvailable[Resource],ResourceMonitor[[#This Row],[Resource]])</f>
        <v>0</v>
      </c>
      <c r="R42" s="71">
        <f>SUMIFS(ResourceAvailable[Amount Available for Resident Consumption],ResourceAvailable[Resource],ResourceMonitor[[#This Row],[Resource]])</f>
        <v>0</v>
      </c>
      <c r="S42" s="39">
        <f>MAX(0,ResourceMonitor[[#This Row],[Amount Available for Resident Consumption]]-SUMIFS(ConsumptionModel[Resource Demand],ConsumptionModel[Resource],ResourceMonitor[[#This Row],[Resource]]))</f>
        <v>0</v>
      </c>
      <c r="T42" s="39">
        <f>MIN(0,ResourceMonitor[[#This Row],[Amount Available for Resident Consumption]]-SUMIFS(ConsumptionModel[Resource Demand],ConsumptionModel[Resource],ResourceMonitor[[#This Row],[Resource]]))</f>
        <v>-272</v>
      </c>
      <c r="U42" s="122">
        <f>IFERROR(INDEX(#REF!,MATCH(ResourceMonitor[[#This Row],[Resource]],#REF!,0)),0)</f>
        <v>0</v>
      </c>
      <c r="V42" s="194">
        <f>IFERROR(ResourceMonitor[[#This Row],[Amount Produced]]/ResourceMonitor[[#This Row],[Production Target]],0)</f>
        <v>0</v>
      </c>
      <c r="W42" s="133"/>
      <c r="X42" s="47">
        <f>IF(ResourceMonitor[[#This Row],[Ignore shipping needs?]]="Yes",0,ROUNDUP(ResourceMonitor[[#This Row],[Production Target]]/INDEX(ShipRequirementCalculator[Cargo capacity/h (return, 50% empty)],MATCH($X$15,ShipRequirementCalculator[Ship],0)),0))</f>
        <v>0</v>
      </c>
      <c r="Y42" s="47">
        <f>IF(ResourceMonitor[[#This Row],[Ignore shipping needs?]]="Yes",0,ROUNDUP(ResourceMonitor[[#This Row],[Production Target]]/INDEX(ShipRequirementCalculator[Cargo capacity/h (return, 50% empty)],MATCH($Y$15,ShipRequirementCalculator[Ship],0)),0))</f>
        <v>0</v>
      </c>
      <c r="Z42" s="47">
        <f>IF(ResourceMonitor[[#This Row],[Ignore shipping needs?]]="Yes",0,ROUNDUP(ResourceMonitor[[#This Row],[Production Target]]/INDEX(ShipRequirementCalculator[Cargo capacity/h (return, 50% empty)],MATCH($Z$15,ShipRequirementCalculator[Ship],0)),0))</f>
        <v>0</v>
      </c>
      <c r="AA42" s="124"/>
      <c r="AD42" s="83">
        <f>ROW()</f>
        <v>42</v>
      </c>
      <c r="AE42" s="106"/>
      <c r="AF42" s="72"/>
      <c r="AG42" s="18"/>
      <c r="AH42" s="18"/>
      <c r="AI42" s="156">
        <f>IFERROR(IslandModel[[#This Row],[Quantity]]/IslandModel[[#This Row],[Target Quantity]],0)</f>
        <v>0</v>
      </c>
      <c r="AJ42" s="61" t="str">
        <f>IFERROR(INDEX(Production[Resource Produced],MATCH(IslandModel[[#This Row],[Building]],Production[Building],0)),"")</f>
        <v/>
      </c>
      <c r="AK42" s="99">
        <f>IFERROR(IslandModel[[#This Row],[Quantity]]*INDEX(Production[Production in 1h],MATCH(IslandModel[[#This Row],[Building]],Production[Building],0))*IslandModel[[#This Row],[Input Consumption Multiplier]],0)</f>
        <v>0</v>
      </c>
      <c r="AL42" s="115">
        <f>100%</f>
        <v>1</v>
      </c>
      <c r="AM42"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42" s="77" t="str">
        <f>IFERROR(INDEX(Production[Input 1],MATCH(IslandModel[[#This Row],[Building]],Production[Building],0)),"")</f>
        <v/>
      </c>
      <c r="AO42" s="78"/>
      <c r="AP42"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42"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42"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42" s="35" t="str">
        <f>IFERROR(INDEX(Production[Input 2],MATCH(IslandModel[[#This Row],[Building]],Production[Building],0)),"")</f>
        <v/>
      </c>
      <c r="AT42" s="78"/>
      <c r="AU42"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42"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42"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42" s="35" t="str">
        <f>IFERROR(INDEX(Production[Input 3],MATCH(IslandModel[[#This Row],[Building]],Production[Building],0)),"")</f>
        <v/>
      </c>
      <c r="AY42" s="78"/>
      <c r="AZ42"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42"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42"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42" s="35" t="str">
        <f>IFERROR(INDEX(Production[Input 4],MATCH(IslandModel[[#This Row],[Building]],Production[Building],0)),"")</f>
        <v/>
      </c>
      <c r="BD42" s="78"/>
      <c r="BE42"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42"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42"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42" s="35" t="str">
        <f>IFERROR(INDEX(Production[Input 5],MATCH(IslandModel[[#This Row],[Building]],Production[Building],0)),"")</f>
        <v/>
      </c>
      <c r="BI42" s="78"/>
      <c r="BJ42"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42"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42"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42" s="35" t="str">
        <f>IFERROR(INDEX(Production[Input 6],MATCH(IslandModel[[#This Row],[Building]],Production[Building],0)),"")</f>
        <v/>
      </c>
      <c r="BN42" s="78"/>
      <c r="BO42"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42"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42"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42" s="35" t="str">
        <f>IFERROR(INDEX(Production[Input 7],MATCH(IslandModel[[#This Row],[Building]],Production[Building],0)),"")</f>
        <v/>
      </c>
      <c r="BS42" s="78"/>
      <c r="BT42"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42"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42"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42" s="35" t="str">
        <f>IFERROR(INDEX(Production[Input 8],MATCH(IslandModel[[#This Row],[Building]],Production[Building],0)),"")</f>
        <v/>
      </c>
      <c r="BX42" s="78"/>
      <c r="BY42"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42"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42"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42" s="35" t="str">
        <f>IFERROR(INDEX(Production[Input 9],MATCH(IslandModel[[#This Row],[Building]],Production[Building],0)),"")</f>
        <v/>
      </c>
      <c r="CC42" s="78"/>
      <c r="CD42"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42"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42"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42" s="35" t="str">
        <f>IFERROR(INDEX(Production[Input 10],MATCH(IslandModel[[#This Row],[Building]],Production[Building],0)),"")</f>
        <v/>
      </c>
      <c r="CH42" s="78"/>
      <c r="CI42"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42"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42"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42"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42" s="82" t="str">
        <f>IslandModel[[#This Row],[Resource Produced]]</f>
        <v/>
      </c>
      <c r="CN42" s="42">
        <f>IslandModel[[#This Row],[Amount produced/h]]</f>
        <v>0</v>
      </c>
      <c r="CO42" s="42" t="str">
        <f>IslandModel[[#This Row],[Input 1]]</f>
        <v/>
      </c>
      <c r="CP42" s="42">
        <f>-IslandModel[[#This Row],[Input 1 Consumed]]</f>
        <v>0</v>
      </c>
      <c r="CQ42" s="42" t="str">
        <f>IslandModel[[#This Row],[Input 2]]</f>
        <v/>
      </c>
      <c r="CR42" s="42">
        <f>-IslandModel[[#This Row],[Input 2 Consumed]]</f>
        <v>0</v>
      </c>
      <c r="CS42" s="42" t="str">
        <f>IslandModel[[#This Row],[Input 3]]</f>
        <v/>
      </c>
      <c r="CT42" s="42">
        <f>-IslandModel[[#This Row],[Input 3 Consumed]]</f>
        <v>0</v>
      </c>
      <c r="CU42" s="42" t="str">
        <f>IslandModel[[#This Row],[Input 4]]</f>
        <v/>
      </c>
      <c r="CV42" s="42">
        <f>-IslandModel[[#This Row],[Input 4 Consumed]]</f>
        <v>0</v>
      </c>
      <c r="CW42" s="42" t="str">
        <f>IslandModel[[#This Row],[Input 5]]</f>
        <v/>
      </c>
      <c r="CX42" s="42">
        <f>-IslandModel[[#This Row],[Input 5 Consumed]]</f>
        <v>0</v>
      </c>
      <c r="CY42" s="42" t="str">
        <f>IslandModel[[#This Row],[Input 6]]</f>
        <v/>
      </c>
      <c r="CZ42" s="42">
        <f>-IslandModel[[#This Row],[Input 6 Consumed]]</f>
        <v>0</v>
      </c>
      <c r="DA42" s="42" t="str">
        <f>IslandModel[[#This Row],[Input 7]]</f>
        <v/>
      </c>
      <c r="DB42" s="42">
        <f>-IslandModel[[#This Row],[Input 7 Consumed]]</f>
        <v>0</v>
      </c>
      <c r="DC42" s="42" t="str">
        <f>IslandModel[[#This Row],[Input 8]]</f>
        <v/>
      </c>
      <c r="DD42" s="42">
        <f>-IslandModel[[#This Row],[Input 8 Consumed]]</f>
        <v>0</v>
      </c>
      <c r="DE42" s="42" t="str">
        <f>IslandModel[[#This Row],[Input 9]]</f>
        <v/>
      </c>
      <c r="DF42" s="42">
        <f>-IslandModel[[#This Row],[Input 9 Consumed]]</f>
        <v>0</v>
      </c>
      <c r="DG42" s="42" t="str">
        <f>IslandModel[[#This Row],[Input 10]]</f>
        <v/>
      </c>
      <c r="DH42" s="42">
        <f>-IslandModel[[#This Row],[Input 10 Consumed]]</f>
        <v>0</v>
      </c>
      <c r="DJ42" s="55" t="s">
        <v>77</v>
      </c>
      <c r="DK42" s="39">
        <f>SUM(SUMIFS(IslandModel[Resource 1 Qty],IslandModel[Resource 1],ResourceAvailable[[#This Row],[Resource]]))</f>
        <v>0</v>
      </c>
      <c r="DL42"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42" s="39">
        <f>ResourceAvailable[[#This Row],[Amount Produced]]-ResourceAvailable[[#This Row],[Amount Consumed]]</f>
        <v>0</v>
      </c>
      <c r="DN42" s="20">
        <f>MAX(0,ResourceAvailable[[#This Row],[Amount Available for Resident Consumption]]-SUMIFS(ConsumptionModel[Resource Demand],ConsumptionModel[Resource],ResourceAvailable[[#This Row],[Resource]]))</f>
        <v>0</v>
      </c>
    </row>
    <row r="43" spans="2:118" ht="21" x14ac:dyDescent="0.65">
      <c r="B43" s="178">
        <f>ROW()</f>
        <v>43</v>
      </c>
      <c r="C43" s="70">
        <f>INDEX(ConsumptionModelInputs[Quantity],MATCH(ConsumptionModel[[#This Row],[Building]],ConsumptionModelInputs[Building],0))</f>
        <v>12</v>
      </c>
      <c r="D43" s="179" t="s">
        <v>58</v>
      </c>
      <c r="E43" s="179" t="s">
        <v>332</v>
      </c>
      <c r="F43" s="64" t="str">
        <f>IF(OR(ISBLANK(ConsumptionModel[[#This Row],[Building]]),ISBLANK(ConsumptionModel[[#This Row],[Resource]]))," - ",INDEX(Consumption[Type],MATCH(ConsumptionModel[[#This Row],[LookupValue]],Consumption[LookupValue],0)))</f>
        <v>Need</v>
      </c>
      <c r="G43" s="61" t="str">
        <f>IF(OR(ISBLANK(ConsumptionModel[[#This Row],[Building]]),ISBLANK(ConsumptionModel[[#This Row],[Resource]]))," - ",ConsumptionModel[[#This Row],[Building]]&amp;" - "&amp;ConsumptionModel[[#This Row],[Resource]])</f>
        <v>Merchant's Mansion - Education</v>
      </c>
      <c r="H43" s="62">
        <f>ConsumptionModel[[#This Row],[Quantity]]*INDEX(Consumption[Consumption/person/h],MATCH(ConsumptionModel[[#This Row],[LookupValue]],Consumption[LookupValue],0))*IFERROR(INDEX(ResidentBuildings[Residents],MATCH(ConsumptionModel[[#This Row],[Building]],ResidentBuildings[Building],0)),0)</f>
        <v>0</v>
      </c>
      <c r="I43"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43" s="65">
        <f>IF(ConsumptionModel[[#This Row],[Quantity]]=0,"",IF(AND(ConsumptionModel[[#This Row],[Resource Demand]]=0,ConsumptionModel[[#This Row],[Resource Available]]&gt;0),1,MIN(1,IFERROR(ConsumptionModel[[#This Row],[Resource Available]]/ConsumptionModel[[#This Row],[Resource Demand]],0))))</f>
        <v>0</v>
      </c>
      <c r="K43"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43" s="197" t="s">
        <v>465</v>
      </c>
      <c r="P43" s="71">
        <f>SUMIFS(ResourceAvailable[Amount Produced],ResourceAvailable[Resource],ResourceMonitor[[#This Row],[Resource]])</f>
        <v>0</v>
      </c>
      <c r="Q43" s="71">
        <f>SUMIFS(ResourceAvailable[Amount Consumed],ResourceAvailable[Resource],ResourceMonitor[[#This Row],[Resource]])</f>
        <v>0</v>
      </c>
      <c r="R43" s="71">
        <f>SUMIFS(ResourceAvailable[Amount Available for Resident Consumption],ResourceAvailable[Resource],ResourceMonitor[[#This Row],[Resource]])</f>
        <v>0</v>
      </c>
      <c r="S43" s="39">
        <f>MAX(0,ResourceMonitor[[#This Row],[Amount Available for Resident Consumption]]-SUMIFS(ConsumptionModel[Resource Demand],ConsumptionModel[Resource],ResourceMonitor[[#This Row],[Resource]]))</f>
        <v>0</v>
      </c>
      <c r="T43" s="39">
        <f>MIN(0,ResourceMonitor[[#This Row],[Amount Available for Resident Consumption]]-SUMIFS(ConsumptionModel[Resource Demand],ConsumptionModel[Resource],ResourceMonitor[[#This Row],[Resource]]))</f>
        <v>0</v>
      </c>
      <c r="U43" s="122">
        <f>IFERROR(INDEX(#REF!,MATCH(ResourceMonitor[[#This Row],[Resource]],#REF!,0)),0)</f>
        <v>0</v>
      </c>
      <c r="V43" s="194">
        <f>IFERROR(ResourceMonitor[[#This Row],[Amount Produced]]/ResourceMonitor[[#This Row],[Production Target]],0)</f>
        <v>0</v>
      </c>
      <c r="W43" s="133" t="s">
        <v>242</v>
      </c>
      <c r="X43" s="47">
        <f>IF(ResourceMonitor[[#This Row],[Ignore shipping needs?]]="Yes",0,ROUNDUP(ResourceMonitor[[#This Row],[Production Target]]/INDEX(ShipRequirementCalculator[Cargo capacity/h (return, 50% empty)],MATCH($X$15,ShipRequirementCalculator[Ship],0)),0))</f>
        <v>0</v>
      </c>
      <c r="Y43" s="47">
        <f>IF(ResourceMonitor[[#This Row],[Ignore shipping needs?]]="Yes",0,ROUNDUP(ResourceMonitor[[#This Row],[Production Target]]/INDEX(ShipRequirementCalculator[Cargo capacity/h (return, 50% empty)],MATCH($Y$15,ShipRequirementCalculator[Ship],0)),0))</f>
        <v>0</v>
      </c>
      <c r="Z43" s="47">
        <f>IF(ResourceMonitor[[#This Row],[Ignore shipping needs?]]="Yes",0,ROUNDUP(ResourceMonitor[[#This Row],[Production Target]]/INDEX(ShipRequirementCalculator[Cargo capacity/h (return, 50% empty)],MATCH($Z$15,ShipRequirementCalculator[Ship],0)),0))</f>
        <v>0</v>
      </c>
      <c r="AA43" s="124"/>
      <c r="AD43" s="83">
        <f>ROW()</f>
        <v>43</v>
      </c>
      <c r="AE43" s="106"/>
      <c r="AF43" s="72"/>
      <c r="AG43" s="18"/>
      <c r="AH43" s="18"/>
      <c r="AI43" s="156">
        <f>IFERROR(IslandModel[[#This Row],[Quantity]]/IslandModel[[#This Row],[Target Quantity]],0)</f>
        <v>0</v>
      </c>
      <c r="AJ43" s="61" t="str">
        <f>IFERROR(INDEX(Production[Resource Produced],MATCH(IslandModel[[#This Row],[Building]],Production[Building],0)),"")</f>
        <v/>
      </c>
      <c r="AK43" s="99">
        <f>IFERROR(IslandModel[[#This Row],[Quantity]]*INDEX(Production[Production in 1h],MATCH(IslandModel[[#This Row],[Building]],Production[Building],0))*IslandModel[[#This Row],[Input Consumption Multiplier]],0)</f>
        <v>0</v>
      </c>
      <c r="AL43" s="115">
        <f>100%</f>
        <v>1</v>
      </c>
      <c r="AM43"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43" s="77" t="str">
        <f>IFERROR(INDEX(Production[Input 1],MATCH(IslandModel[[#This Row],[Building]],Production[Building],0)),"")</f>
        <v/>
      </c>
      <c r="AO43" s="78"/>
      <c r="AP43"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43"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43"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43" s="35" t="str">
        <f>IFERROR(INDEX(Production[Input 2],MATCH(IslandModel[[#This Row],[Building]],Production[Building],0)),"")</f>
        <v/>
      </c>
      <c r="AT43" s="78"/>
      <c r="AU43"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43"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43"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43" s="35" t="str">
        <f>IFERROR(INDEX(Production[Input 3],MATCH(IslandModel[[#This Row],[Building]],Production[Building],0)),"")</f>
        <v/>
      </c>
      <c r="AY43" s="78"/>
      <c r="AZ43"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43"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43"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43" s="35" t="str">
        <f>IFERROR(INDEX(Production[Input 4],MATCH(IslandModel[[#This Row],[Building]],Production[Building],0)),"")</f>
        <v/>
      </c>
      <c r="BD43" s="78"/>
      <c r="BE43"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43"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43"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43" s="35" t="str">
        <f>IFERROR(INDEX(Production[Input 5],MATCH(IslandModel[[#This Row],[Building]],Production[Building],0)),"")</f>
        <v/>
      </c>
      <c r="BI43" s="78"/>
      <c r="BJ43"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43"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43"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43" s="35" t="str">
        <f>IFERROR(INDEX(Production[Input 6],MATCH(IslandModel[[#This Row],[Building]],Production[Building],0)),"")</f>
        <v/>
      </c>
      <c r="BN43" s="78"/>
      <c r="BO43"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43"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43"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43" s="35" t="str">
        <f>IFERROR(INDEX(Production[Input 7],MATCH(IslandModel[[#This Row],[Building]],Production[Building],0)),"")</f>
        <v/>
      </c>
      <c r="BS43" s="78"/>
      <c r="BT43"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43"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43"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43" s="35" t="str">
        <f>IFERROR(INDEX(Production[Input 8],MATCH(IslandModel[[#This Row],[Building]],Production[Building],0)),"")</f>
        <v/>
      </c>
      <c r="BX43" s="78"/>
      <c r="BY43"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43"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43"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43" s="35" t="str">
        <f>IFERROR(INDEX(Production[Input 9],MATCH(IslandModel[[#This Row],[Building]],Production[Building],0)),"")</f>
        <v/>
      </c>
      <c r="CC43" s="78"/>
      <c r="CD43"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43"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43"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43" s="35" t="str">
        <f>IFERROR(INDEX(Production[Input 10],MATCH(IslandModel[[#This Row],[Building]],Production[Building],0)),"")</f>
        <v/>
      </c>
      <c r="CH43" s="78"/>
      <c r="CI43"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43"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43"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43"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43" s="82" t="str">
        <f>IslandModel[[#This Row],[Resource Produced]]</f>
        <v/>
      </c>
      <c r="CN43" s="42">
        <f>IslandModel[[#This Row],[Amount produced/h]]</f>
        <v>0</v>
      </c>
      <c r="CO43" s="42" t="str">
        <f>IslandModel[[#This Row],[Input 1]]</f>
        <v/>
      </c>
      <c r="CP43" s="42">
        <f>-IslandModel[[#This Row],[Input 1 Consumed]]</f>
        <v>0</v>
      </c>
      <c r="CQ43" s="42" t="str">
        <f>IslandModel[[#This Row],[Input 2]]</f>
        <v/>
      </c>
      <c r="CR43" s="42">
        <f>-IslandModel[[#This Row],[Input 2 Consumed]]</f>
        <v>0</v>
      </c>
      <c r="CS43" s="42" t="str">
        <f>IslandModel[[#This Row],[Input 3]]</f>
        <v/>
      </c>
      <c r="CT43" s="42">
        <f>-IslandModel[[#This Row],[Input 3 Consumed]]</f>
        <v>0</v>
      </c>
      <c r="CU43" s="42" t="str">
        <f>IslandModel[[#This Row],[Input 4]]</f>
        <v/>
      </c>
      <c r="CV43" s="42">
        <f>-IslandModel[[#This Row],[Input 4 Consumed]]</f>
        <v>0</v>
      </c>
      <c r="CW43" s="42" t="str">
        <f>IslandModel[[#This Row],[Input 5]]</f>
        <v/>
      </c>
      <c r="CX43" s="42">
        <f>-IslandModel[[#This Row],[Input 5 Consumed]]</f>
        <v>0</v>
      </c>
      <c r="CY43" s="42" t="str">
        <f>IslandModel[[#This Row],[Input 6]]</f>
        <v/>
      </c>
      <c r="CZ43" s="42">
        <f>-IslandModel[[#This Row],[Input 6 Consumed]]</f>
        <v>0</v>
      </c>
      <c r="DA43" s="42" t="str">
        <f>IslandModel[[#This Row],[Input 7]]</f>
        <v/>
      </c>
      <c r="DB43" s="42">
        <f>-IslandModel[[#This Row],[Input 7 Consumed]]</f>
        <v>0</v>
      </c>
      <c r="DC43" s="42" t="str">
        <f>IslandModel[[#This Row],[Input 8]]</f>
        <v/>
      </c>
      <c r="DD43" s="42">
        <f>-IslandModel[[#This Row],[Input 8 Consumed]]</f>
        <v>0</v>
      </c>
      <c r="DE43" s="42" t="str">
        <f>IslandModel[[#This Row],[Input 9]]</f>
        <v/>
      </c>
      <c r="DF43" s="42">
        <f>-IslandModel[[#This Row],[Input 9 Consumed]]</f>
        <v>0</v>
      </c>
      <c r="DG43" s="42" t="str">
        <f>IslandModel[[#This Row],[Input 10]]</f>
        <v/>
      </c>
      <c r="DH43" s="42">
        <f>-IslandModel[[#This Row],[Input 10 Consumed]]</f>
        <v>0</v>
      </c>
      <c r="DJ43" s="55" t="s">
        <v>385</v>
      </c>
      <c r="DK43" s="39">
        <f>SUM(SUMIFS(IslandModel[Resource 1 Qty],IslandModel[Resource 1],ResourceAvailable[[#This Row],[Resource]]))</f>
        <v>0</v>
      </c>
      <c r="DL43"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43" s="39">
        <f>ResourceAvailable[[#This Row],[Amount Produced]]-ResourceAvailable[[#This Row],[Amount Consumed]]</f>
        <v>0</v>
      </c>
      <c r="DN43" s="58">
        <f>MAX(0,ResourceAvailable[[#This Row],[Amount Available for Resident Consumption]]-SUMIFS(ConsumptionModel[Resource Demand],ConsumptionModel[Resource],ResourceAvailable[[#This Row],[Resource]]))</f>
        <v>0</v>
      </c>
    </row>
    <row r="44" spans="2:118" ht="21" x14ac:dyDescent="0.65">
      <c r="B44" s="178">
        <f>ROW()</f>
        <v>44</v>
      </c>
      <c r="C44" s="70">
        <f>INDEX(ConsumptionModelInputs[Quantity],MATCH(ConsumptionModel[[#This Row],[Building]],ConsumptionModelInputs[Building],0))</f>
        <v>12</v>
      </c>
      <c r="D44" s="179" t="s">
        <v>58</v>
      </c>
      <c r="E44" s="179" t="s">
        <v>63</v>
      </c>
      <c r="F44" s="64" t="str">
        <f>IF(OR(ISBLANK(ConsumptionModel[[#This Row],[Building]]),ISBLANK(ConsumptionModel[[#This Row],[Resource]]))," - ",INDEX(Consumption[Type],MATCH(ConsumptionModel[[#This Row],[LookupValue]],Consumption[LookupValue],0)))</f>
        <v>Need</v>
      </c>
      <c r="G44" s="61" t="str">
        <f>IF(OR(ISBLANK(ConsumptionModel[[#This Row],[Building]]),ISBLANK(ConsumptionModel[[#This Row],[Resource]]))," - ",ConsumptionModel[[#This Row],[Building]]&amp;" - "&amp;ConsumptionModel[[#This Row],[Resource]])</f>
        <v>Merchant's Mansion - Fish</v>
      </c>
      <c r="H44" s="62">
        <f>ConsumptionModel[[#This Row],[Quantity]]*INDEX(Consumption[Consumption/person/h],MATCH(ConsumptionModel[[#This Row],[LookupValue]],Consumption[LookupValue],0))*IFERROR(INDEX(ResidentBuildings[Residents],MATCH(ConsumptionModel[[#This Row],[Building]],ResidentBuildings[Building],0)),0)</f>
        <v>450</v>
      </c>
      <c r="I44"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44" s="65">
        <f>IF(ConsumptionModel[[#This Row],[Quantity]]=0,"",IF(AND(ConsumptionModel[[#This Row],[Resource Demand]]=0,ConsumptionModel[[#This Row],[Resource Available]]&gt;0),1,MIN(1,IFERROR(ConsumptionModel[[#This Row],[Resource Available]]/ConsumptionModel[[#This Row],[Resource Demand]],0))))</f>
        <v>0</v>
      </c>
      <c r="K44"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44" s="197" t="s">
        <v>652</v>
      </c>
      <c r="P44" s="71">
        <f>SUMIFS(ResourceAvailable[Amount Produced],ResourceAvailable[Resource],ResourceMonitor[[#This Row],[Resource]])</f>
        <v>0</v>
      </c>
      <c r="Q44" s="71">
        <f>SUMIFS(ResourceAvailable[Amount Consumed],ResourceAvailable[Resource],ResourceMonitor[[#This Row],[Resource]])</f>
        <v>0</v>
      </c>
      <c r="R44" s="71">
        <f>SUMIFS(ResourceAvailable[Amount Available for Resident Consumption],ResourceAvailable[Resource],ResourceMonitor[[#This Row],[Resource]])</f>
        <v>0</v>
      </c>
      <c r="S44" s="39">
        <f>MAX(0,ResourceMonitor[[#This Row],[Amount Available for Resident Consumption]]-SUMIFS(ConsumptionModel[Resource Demand],ConsumptionModel[Resource],ResourceMonitor[[#This Row],[Resource]]))</f>
        <v>0</v>
      </c>
      <c r="T44" s="39">
        <f>MIN(0,ResourceMonitor[[#This Row],[Amount Available for Resident Consumption]]-SUMIFS(ConsumptionModel[Resource Demand],ConsumptionModel[Resource],ResourceMonitor[[#This Row],[Resource]]))</f>
        <v>0</v>
      </c>
      <c r="U44" s="122">
        <f>IFERROR(INDEX(#REF!,MATCH(ResourceMonitor[[#This Row],[Resource]],#REF!,0)),0)</f>
        <v>0</v>
      </c>
      <c r="V44" s="194">
        <f>IFERROR(ResourceMonitor[[#This Row],[Amount Produced]]/ResourceMonitor[[#This Row],[Production Target]],0)</f>
        <v>0</v>
      </c>
      <c r="W44" s="133" t="s">
        <v>242</v>
      </c>
      <c r="X44" s="47">
        <f>IF(ResourceMonitor[[#This Row],[Ignore shipping needs?]]="Yes",0,ROUNDUP(ResourceMonitor[[#This Row],[Production Target]]/INDEX(ShipRequirementCalculator[Cargo capacity/h (return, 50% empty)],MATCH($X$15,ShipRequirementCalculator[Ship],0)),0))</f>
        <v>0</v>
      </c>
      <c r="Y44" s="47">
        <f>IF(ResourceMonitor[[#This Row],[Ignore shipping needs?]]="Yes",0,ROUNDUP(ResourceMonitor[[#This Row],[Production Target]]/INDEX(ShipRequirementCalculator[Cargo capacity/h (return, 50% empty)],MATCH($Y$15,ShipRequirementCalculator[Ship],0)),0))</f>
        <v>0</v>
      </c>
      <c r="Z44" s="47">
        <f>IF(ResourceMonitor[[#This Row],[Ignore shipping needs?]]="Yes",0,ROUNDUP(ResourceMonitor[[#This Row],[Production Target]]/INDEX(ShipRequirementCalculator[Cargo capacity/h (return, 50% empty)],MATCH($Z$15,ShipRequirementCalculator[Ship],0)),0))</f>
        <v>0</v>
      </c>
      <c r="AA44" s="124"/>
      <c r="AD44" s="83">
        <f>ROW()</f>
        <v>44</v>
      </c>
      <c r="AE44" s="106"/>
      <c r="AF44" s="72"/>
      <c r="AG44" s="18"/>
      <c r="AH44" s="18"/>
      <c r="AI44" s="156">
        <f>IFERROR(IslandModel[[#This Row],[Quantity]]/IslandModel[[#This Row],[Target Quantity]],0)</f>
        <v>0</v>
      </c>
      <c r="AJ44" s="61" t="str">
        <f>IFERROR(INDEX(Production[Resource Produced],MATCH(IslandModel[[#This Row],[Building]],Production[Building],0)),"")</f>
        <v/>
      </c>
      <c r="AK44" s="99">
        <f>IFERROR(IslandModel[[#This Row],[Quantity]]*INDEX(Production[Production in 1h],MATCH(IslandModel[[#This Row],[Building]],Production[Building],0))*IslandModel[[#This Row],[Input Consumption Multiplier]],0)</f>
        <v>0</v>
      </c>
      <c r="AL44" s="115">
        <f>100%</f>
        <v>1</v>
      </c>
      <c r="AM44"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44" s="77" t="str">
        <f>IFERROR(INDEX(Production[Input 1],MATCH(IslandModel[[#This Row],[Building]],Production[Building],0)),"")</f>
        <v/>
      </c>
      <c r="AO44" s="78"/>
      <c r="AP44"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44"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44"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44" s="35" t="str">
        <f>IFERROR(INDEX(Production[Input 2],MATCH(IslandModel[[#This Row],[Building]],Production[Building],0)),"")</f>
        <v/>
      </c>
      <c r="AT44" s="78"/>
      <c r="AU44"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44"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44"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44" s="35" t="str">
        <f>IFERROR(INDEX(Production[Input 3],MATCH(IslandModel[[#This Row],[Building]],Production[Building],0)),"")</f>
        <v/>
      </c>
      <c r="AY44" s="78"/>
      <c r="AZ44"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44"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44"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44" s="35" t="str">
        <f>IFERROR(INDEX(Production[Input 4],MATCH(IslandModel[[#This Row],[Building]],Production[Building],0)),"")</f>
        <v/>
      </c>
      <c r="BD44" s="78"/>
      <c r="BE44"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44"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44"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44" s="35" t="str">
        <f>IFERROR(INDEX(Production[Input 5],MATCH(IslandModel[[#This Row],[Building]],Production[Building],0)),"")</f>
        <v/>
      </c>
      <c r="BI44" s="78"/>
      <c r="BJ44"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44"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44"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44" s="35" t="str">
        <f>IFERROR(INDEX(Production[Input 6],MATCH(IslandModel[[#This Row],[Building]],Production[Building],0)),"")</f>
        <v/>
      </c>
      <c r="BN44" s="78"/>
      <c r="BO44"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44"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44"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44" s="35" t="str">
        <f>IFERROR(INDEX(Production[Input 7],MATCH(IslandModel[[#This Row],[Building]],Production[Building],0)),"")</f>
        <v/>
      </c>
      <c r="BS44" s="78"/>
      <c r="BT44"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44"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44"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44" s="35" t="str">
        <f>IFERROR(INDEX(Production[Input 8],MATCH(IslandModel[[#This Row],[Building]],Production[Building],0)),"")</f>
        <v/>
      </c>
      <c r="BX44" s="78"/>
      <c r="BY44"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44"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44"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44" s="35" t="str">
        <f>IFERROR(INDEX(Production[Input 9],MATCH(IslandModel[[#This Row],[Building]],Production[Building],0)),"")</f>
        <v/>
      </c>
      <c r="CC44" s="78"/>
      <c r="CD44"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44"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44"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44" s="35" t="str">
        <f>IFERROR(INDEX(Production[Input 10],MATCH(IslandModel[[#This Row],[Building]],Production[Building],0)),"")</f>
        <v/>
      </c>
      <c r="CH44" s="78"/>
      <c r="CI44"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44"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44"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44"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44" s="82" t="str">
        <f>IslandModel[[#This Row],[Resource Produced]]</f>
        <v/>
      </c>
      <c r="CN44" s="42">
        <f>IslandModel[[#This Row],[Amount produced/h]]</f>
        <v>0</v>
      </c>
      <c r="CO44" s="42" t="str">
        <f>IslandModel[[#This Row],[Input 1]]</f>
        <v/>
      </c>
      <c r="CP44" s="42">
        <f>-IslandModel[[#This Row],[Input 1 Consumed]]</f>
        <v>0</v>
      </c>
      <c r="CQ44" s="42" t="str">
        <f>IslandModel[[#This Row],[Input 2]]</f>
        <v/>
      </c>
      <c r="CR44" s="42">
        <f>-IslandModel[[#This Row],[Input 2 Consumed]]</f>
        <v>0</v>
      </c>
      <c r="CS44" s="42" t="str">
        <f>IslandModel[[#This Row],[Input 3]]</f>
        <v/>
      </c>
      <c r="CT44" s="42">
        <f>-IslandModel[[#This Row],[Input 3 Consumed]]</f>
        <v>0</v>
      </c>
      <c r="CU44" s="42" t="str">
        <f>IslandModel[[#This Row],[Input 4]]</f>
        <v/>
      </c>
      <c r="CV44" s="42">
        <f>-IslandModel[[#This Row],[Input 4 Consumed]]</f>
        <v>0</v>
      </c>
      <c r="CW44" s="42" t="str">
        <f>IslandModel[[#This Row],[Input 5]]</f>
        <v/>
      </c>
      <c r="CX44" s="42">
        <f>-IslandModel[[#This Row],[Input 5 Consumed]]</f>
        <v>0</v>
      </c>
      <c r="CY44" s="42" t="str">
        <f>IslandModel[[#This Row],[Input 6]]</f>
        <v/>
      </c>
      <c r="CZ44" s="42">
        <f>-IslandModel[[#This Row],[Input 6 Consumed]]</f>
        <v>0</v>
      </c>
      <c r="DA44" s="42" t="str">
        <f>IslandModel[[#This Row],[Input 7]]</f>
        <v/>
      </c>
      <c r="DB44" s="42">
        <f>-IslandModel[[#This Row],[Input 7 Consumed]]</f>
        <v>0</v>
      </c>
      <c r="DC44" s="42" t="str">
        <f>IslandModel[[#This Row],[Input 8]]</f>
        <v/>
      </c>
      <c r="DD44" s="42">
        <f>-IslandModel[[#This Row],[Input 8 Consumed]]</f>
        <v>0</v>
      </c>
      <c r="DE44" s="42" t="str">
        <f>IslandModel[[#This Row],[Input 9]]</f>
        <v/>
      </c>
      <c r="DF44" s="42">
        <f>-IslandModel[[#This Row],[Input 9 Consumed]]</f>
        <v>0</v>
      </c>
      <c r="DG44" s="42" t="str">
        <f>IslandModel[[#This Row],[Input 10]]</f>
        <v/>
      </c>
      <c r="DH44" s="42">
        <f>-IslandModel[[#This Row],[Input 10 Consumed]]</f>
        <v>0</v>
      </c>
      <c r="DJ44" s="55" t="s">
        <v>331</v>
      </c>
      <c r="DK44" s="39">
        <f>SUM(SUMIFS(IslandModel[Resource 1 Qty],IslandModel[Resource 1],ResourceAvailable[[#This Row],[Resource]]))</f>
        <v>0</v>
      </c>
      <c r="DL44"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44" s="39">
        <f>ResourceAvailable[[#This Row],[Amount Produced]]-ResourceAvailable[[#This Row],[Amount Consumed]]</f>
        <v>0</v>
      </c>
      <c r="DN44" s="20">
        <f>MAX(0,ResourceAvailable[[#This Row],[Amount Available for Resident Consumption]]-SUMIFS(ConsumptionModel[Resource Demand],ConsumptionModel[Resource],ResourceAvailable[[#This Row],[Resource]]))</f>
        <v>0</v>
      </c>
    </row>
    <row r="45" spans="2:118" ht="21" x14ac:dyDescent="0.65">
      <c r="B45" s="178">
        <f>ROW()</f>
        <v>45</v>
      </c>
      <c r="C45" s="70">
        <f>INDEX(ConsumptionModelInputs[Quantity],MATCH(ConsumptionModel[[#This Row],[Building]],ConsumptionModelInputs[Building],0))</f>
        <v>12</v>
      </c>
      <c r="D45" s="179" t="s">
        <v>58</v>
      </c>
      <c r="E45" s="179" t="s">
        <v>66</v>
      </c>
      <c r="F45" s="64" t="str">
        <f>IF(OR(ISBLANK(ConsumptionModel[[#This Row],[Building]]),ISBLANK(ConsumptionModel[[#This Row],[Resource]]))," - ",INDEX(Consumption[Type],MATCH(ConsumptionModel[[#This Row],[LookupValue]],Consumption[LookupValue],0)))</f>
        <v>Need</v>
      </c>
      <c r="G45" s="61" t="str">
        <f>IF(OR(ISBLANK(ConsumptionModel[[#This Row],[Building]]),ISBLANK(ConsumptionModel[[#This Row],[Resource]]))," - ",ConsumptionModel[[#This Row],[Building]]&amp;" - "&amp;ConsumptionModel[[#This Row],[Resource]])</f>
        <v>Merchant's Mansion - Schnapps</v>
      </c>
      <c r="H45" s="62">
        <f>ConsumptionModel[[#This Row],[Quantity]]*INDEX(Consumption[Consumption/person/h],MATCH(ConsumptionModel[[#This Row],[LookupValue]],Consumption[LookupValue],0))*IFERROR(INDEX(ResidentBuildings[Residents],MATCH(ConsumptionModel[[#This Row],[Building]],ResidentBuildings[Building],0)),0)</f>
        <v>450</v>
      </c>
      <c r="I45"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45" s="65">
        <f>IF(ConsumptionModel[[#This Row],[Quantity]]=0,"",IF(AND(ConsumptionModel[[#This Row],[Resource Demand]]=0,ConsumptionModel[[#This Row],[Resource Available]]&gt;0),1,MIN(1,IFERROR(ConsumptionModel[[#This Row],[Resource Available]]/ConsumptionModel[[#This Row],[Resource Demand]],0))))</f>
        <v>0</v>
      </c>
      <c r="K45"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45" s="197" t="s">
        <v>110</v>
      </c>
      <c r="P45" s="71">
        <f>SUMIFS(ResourceAvailable[Amount Produced],ResourceAvailable[Resource],ResourceMonitor[[#This Row],[Resource]])</f>
        <v>0</v>
      </c>
      <c r="Q45" s="71">
        <f>SUMIFS(ResourceAvailable[Amount Consumed],ResourceAvailable[Resource],ResourceMonitor[[#This Row],[Resource]])</f>
        <v>0</v>
      </c>
      <c r="R45" s="71">
        <f>SUMIFS(ResourceAvailable[Amount Available for Resident Consumption],ResourceAvailable[Resource],ResourceMonitor[[#This Row],[Resource]])</f>
        <v>0</v>
      </c>
      <c r="S45" s="39">
        <f>MAX(0,ResourceMonitor[[#This Row],[Amount Available for Resident Consumption]]-SUMIFS(ConsumptionModel[Resource Demand],ConsumptionModel[Resource],ResourceMonitor[[#This Row],[Resource]]))</f>
        <v>0</v>
      </c>
      <c r="T45" s="39">
        <f>MIN(0,ResourceMonitor[[#This Row],[Amount Available for Resident Consumption]]-SUMIFS(ConsumptionModel[Resource Demand],ConsumptionModel[Resource],ResourceMonitor[[#This Row],[Resource]]))</f>
        <v>0</v>
      </c>
      <c r="U45" s="122">
        <f>IFERROR(INDEX(#REF!,MATCH(ResourceMonitor[[#This Row],[Resource]],#REF!,0)),0)</f>
        <v>0</v>
      </c>
      <c r="V45" s="194">
        <f>IFERROR(ResourceMonitor[[#This Row],[Amount Produced]]/ResourceMonitor[[#This Row],[Production Target]],0)</f>
        <v>0</v>
      </c>
      <c r="W45" s="133"/>
      <c r="X45" s="47">
        <f>IF(ResourceMonitor[[#This Row],[Ignore shipping needs?]]="Yes",0,ROUNDUP(ResourceMonitor[[#This Row],[Production Target]]/INDEX(ShipRequirementCalculator[Cargo capacity/h (return, 50% empty)],MATCH($X$15,ShipRequirementCalculator[Ship],0)),0))</f>
        <v>0</v>
      </c>
      <c r="Y45" s="47">
        <f>IF(ResourceMonitor[[#This Row],[Ignore shipping needs?]]="Yes",0,ROUNDUP(ResourceMonitor[[#This Row],[Production Target]]/INDEX(ShipRequirementCalculator[Cargo capacity/h (return, 50% empty)],MATCH($Y$15,ShipRequirementCalculator[Ship],0)),0))</f>
        <v>0</v>
      </c>
      <c r="Z45" s="47">
        <f>IF(ResourceMonitor[[#This Row],[Ignore shipping needs?]]="Yes",0,ROUNDUP(ResourceMonitor[[#This Row],[Production Target]]/INDEX(ShipRequirementCalculator[Cargo capacity/h (return, 50% empty)],MATCH($Z$15,ShipRequirementCalculator[Ship],0)),0))</f>
        <v>0</v>
      </c>
      <c r="AA45" s="124"/>
      <c r="AD45" s="83">
        <f>ROW()</f>
        <v>45</v>
      </c>
      <c r="AE45" s="106"/>
      <c r="AF45" s="72"/>
      <c r="AG45" s="18"/>
      <c r="AH45" s="18"/>
      <c r="AI45" s="156">
        <f>IFERROR(IslandModel[[#This Row],[Quantity]]/IslandModel[[#This Row],[Target Quantity]],0)</f>
        <v>0</v>
      </c>
      <c r="AJ45" s="61" t="str">
        <f>IFERROR(INDEX(Production[Resource Produced],MATCH(IslandModel[[#This Row],[Building]],Production[Building],0)),"")</f>
        <v/>
      </c>
      <c r="AK45" s="99">
        <f>IFERROR(IslandModel[[#This Row],[Quantity]]*INDEX(Production[Production in 1h],MATCH(IslandModel[[#This Row],[Building]],Production[Building],0))*IslandModel[[#This Row],[Input Consumption Multiplier]],0)</f>
        <v>0</v>
      </c>
      <c r="AL45" s="115">
        <f>100%</f>
        <v>1</v>
      </c>
      <c r="AM45"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45" s="77" t="str">
        <f>IFERROR(INDEX(Production[Input 1],MATCH(IslandModel[[#This Row],[Building]],Production[Building],0)),"")</f>
        <v/>
      </c>
      <c r="AO45" s="78"/>
      <c r="AP45"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45"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45"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45" s="35" t="str">
        <f>IFERROR(INDEX(Production[Input 2],MATCH(IslandModel[[#This Row],[Building]],Production[Building],0)),"")</f>
        <v/>
      </c>
      <c r="AT45" s="78"/>
      <c r="AU45"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45"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45"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45" s="35" t="str">
        <f>IFERROR(INDEX(Production[Input 3],MATCH(IslandModel[[#This Row],[Building]],Production[Building],0)),"")</f>
        <v/>
      </c>
      <c r="AY45" s="78"/>
      <c r="AZ45"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45"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45"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45" s="35" t="str">
        <f>IFERROR(INDEX(Production[Input 4],MATCH(IslandModel[[#This Row],[Building]],Production[Building],0)),"")</f>
        <v/>
      </c>
      <c r="BD45" s="78"/>
      <c r="BE45"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45"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45"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45" s="35" t="str">
        <f>IFERROR(INDEX(Production[Input 5],MATCH(IslandModel[[#This Row],[Building]],Production[Building],0)),"")</f>
        <v/>
      </c>
      <c r="BI45" s="78"/>
      <c r="BJ45"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45"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45"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45" s="35" t="str">
        <f>IFERROR(INDEX(Production[Input 6],MATCH(IslandModel[[#This Row],[Building]],Production[Building],0)),"")</f>
        <v/>
      </c>
      <c r="BN45" s="78"/>
      <c r="BO45"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45"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45"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45" s="35" t="str">
        <f>IFERROR(INDEX(Production[Input 7],MATCH(IslandModel[[#This Row],[Building]],Production[Building],0)),"")</f>
        <v/>
      </c>
      <c r="BS45" s="78"/>
      <c r="BT45"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45"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45"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45" s="35" t="str">
        <f>IFERROR(INDEX(Production[Input 8],MATCH(IslandModel[[#This Row],[Building]],Production[Building],0)),"")</f>
        <v/>
      </c>
      <c r="BX45" s="78"/>
      <c r="BY45"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45"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45"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45" s="35" t="str">
        <f>IFERROR(INDEX(Production[Input 9],MATCH(IslandModel[[#This Row],[Building]],Production[Building],0)),"")</f>
        <v/>
      </c>
      <c r="CC45" s="78"/>
      <c r="CD45"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45"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45"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45" s="35" t="str">
        <f>IFERROR(INDEX(Production[Input 10],MATCH(IslandModel[[#This Row],[Building]],Production[Building],0)),"")</f>
        <v/>
      </c>
      <c r="CH45" s="78"/>
      <c r="CI45"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45"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45"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45"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45" s="82" t="str">
        <f>IslandModel[[#This Row],[Resource Produced]]</f>
        <v/>
      </c>
      <c r="CN45" s="42">
        <f>IslandModel[[#This Row],[Amount produced/h]]</f>
        <v>0</v>
      </c>
      <c r="CO45" s="42" t="str">
        <f>IslandModel[[#This Row],[Input 1]]</f>
        <v/>
      </c>
      <c r="CP45" s="42">
        <f>-IslandModel[[#This Row],[Input 1 Consumed]]</f>
        <v>0</v>
      </c>
      <c r="CQ45" s="42" t="str">
        <f>IslandModel[[#This Row],[Input 2]]</f>
        <v/>
      </c>
      <c r="CR45" s="42">
        <f>-IslandModel[[#This Row],[Input 2 Consumed]]</f>
        <v>0</v>
      </c>
      <c r="CS45" s="42" t="str">
        <f>IslandModel[[#This Row],[Input 3]]</f>
        <v/>
      </c>
      <c r="CT45" s="42">
        <f>-IslandModel[[#This Row],[Input 3 Consumed]]</f>
        <v>0</v>
      </c>
      <c r="CU45" s="42" t="str">
        <f>IslandModel[[#This Row],[Input 4]]</f>
        <v/>
      </c>
      <c r="CV45" s="42">
        <f>-IslandModel[[#This Row],[Input 4 Consumed]]</f>
        <v>0</v>
      </c>
      <c r="CW45" s="42" t="str">
        <f>IslandModel[[#This Row],[Input 5]]</f>
        <v/>
      </c>
      <c r="CX45" s="42">
        <f>-IslandModel[[#This Row],[Input 5 Consumed]]</f>
        <v>0</v>
      </c>
      <c r="CY45" s="42" t="str">
        <f>IslandModel[[#This Row],[Input 6]]</f>
        <v/>
      </c>
      <c r="CZ45" s="42">
        <f>-IslandModel[[#This Row],[Input 6 Consumed]]</f>
        <v>0</v>
      </c>
      <c r="DA45" s="42" t="str">
        <f>IslandModel[[#This Row],[Input 7]]</f>
        <v/>
      </c>
      <c r="DB45" s="42">
        <f>-IslandModel[[#This Row],[Input 7 Consumed]]</f>
        <v>0</v>
      </c>
      <c r="DC45" s="42" t="str">
        <f>IslandModel[[#This Row],[Input 8]]</f>
        <v/>
      </c>
      <c r="DD45" s="42">
        <f>-IslandModel[[#This Row],[Input 8 Consumed]]</f>
        <v>0</v>
      </c>
      <c r="DE45" s="42" t="str">
        <f>IslandModel[[#This Row],[Input 9]]</f>
        <v/>
      </c>
      <c r="DF45" s="42">
        <f>-IslandModel[[#This Row],[Input 9 Consumed]]</f>
        <v>0</v>
      </c>
      <c r="DG45" s="42" t="str">
        <f>IslandModel[[#This Row],[Input 10]]</f>
        <v/>
      </c>
      <c r="DH45" s="42">
        <f>-IslandModel[[#This Row],[Input 10 Consumed]]</f>
        <v>0</v>
      </c>
      <c r="DJ45" s="55" t="s">
        <v>93</v>
      </c>
      <c r="DK45" s="39">
        <f>SUM(SUMIFS(IslandModel[Resource 1 Qty],IslandModel[Resource 1],ResourceAvailable[[#This Row],[Resource]]))</f>
        <v>0</v>
      </c>
      <c r="DL45"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45" s="39">
        <f>ResourceAvailable[[#This Row],[Amount Produced]]-ResourceAvailable[[#This Row],[Amount Consumed]]</f>
        <v>0</v>
      </c>
      <c r="DN45" s="20">
        <f>MAX(0,ResourceAvailable[[#This Row],[Amount Available for Resident Consumption]]-SUMIFS(ConsumptionModel[Resource Demand],ConsumptionModel[Resource],ResourceAvailable[[#This Row],[Resource]]))</f>
        <v>0</v>
      </c>
    </row>
    <row r="46" spans="2:118" ht="21" x14ac:dyDescent="0.65">
      <c r="B46" s="178">
        <f>ROW()</f>
        <v>46</v>
      </c>
      <c r="C46" s="70">
        <f>INDEX(ConsumptionModelInputs[Quantity],MATCH(ConsumptionModel[[#This Row],[Building]],ConsumptionModelInputs[Building],0))</f>
        <v>12</v>
      </c>
      <c r="D46" s="179" t="s">
        <v>58</v>
      </c>
      <c r="E46" s="179" t="s">
        <v>116</v>
      </c>
      <c r="F46" s="64" t="str">
        <f>IF(OR(ISBLANK(ConsumptionModel[[#This Row],[Building]]),ISBLANK(ConsumptionModel[[#This Row],[Resource]]))," - ",INDEX(Consumption[Type],MATCH(ConsumptionModel[[#This Row],[LookupValue]],Consumption[LookupValue],0)))</f>
        <v>Need</v>
      </c>
      <c r="G46" s="61" t="str">
        <f>IF(OR(ISBLANK(ConsumptionModel[[#This Row],[Building]]),ISBLANK(ConsumptionModel[[#This Row],[Resource]]))," - ",ConsumptionModel[[#This Row],[Building]]&amp;" - "&amp;ConsumptionModel[[#This Row],[Resource]])</f>
        <v>Merchant's Mansion - Cigar</v>
      </c>
      <c r="H46" s="62">
        <f>ConsumptionModel[[#This Row],[Quantity]]*INDEX(Consumption[Consumption/person/h],MATCH(ConsumptionModel[[#This Row],[LookupValue]],Consumption[LookupValue],0))*IFERROR(INDEX(ResidentBuildings[Residents],MATCH(ConsumptionModel[[#This Row],[Building]],ResidentBuildings[Building],0)),0)</f>
        <v>44.999999999999993</v>
      </c>
      <c r="I46"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46" s="65">
        <f>IF(ConsumptionModel[[#This Row],[Quantity]]=0,"",IF(AND(ConsumptionModel[[#This Row],[Resource Demand]]=0,ConsumptionModel[[#This Row],[Resource Available]]&gt;0),1,MIN(1,IFERROR(ConsumptionModel[[#This Row],[Resource Available]]/ConsumptionModel[[#This Row],[Resource Demand]],0))))</f>
        <v>0</v>
      </c>
      <c r="K46"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46" s="197" t="s">
        <v>464</v>
      </c>
      <c r="P46" s="71">
        <f>SUMIFS(ResourceAvailable[Amount Produced],ResourceAvailable[Resource],ResourceMonitor[[#This Row],[Resource]])</f>
        <v>0</v>
      </c>
      <c r="Q46" s="71">
        <f>SUMIFS(ResourceAvailable[Amount Consumed],ResourceAvailable[Resource],ResourceMonitor[[#This Row],[Resource]])</f>
        <v>0</v>
      </c>
      <c r="R46" s="71">
        <f>SUMIFS(ResourceAvailable[Amount Available for Resident Consumption],ResourceAvailable[Resource],ResourceMonitor[[#This Row],[Resource]])</f>
        <v>0</v>
      </c>
      <c r="S46" s="39">
        <f>MAX(0,ResourceMonitor[[#This Row],[Amount Available for Resident Consumption]]-SUMIFS(ConsumptionModel[Resource Demand],ConsumptionModel[Resource],ResourceMonitor[[#This Row],[Resource]]))</f>
        <v>0</v>
      </c>
      <c r="T46" s="39">
        <f>MIN(0,ResourceMonitor[[#This Row],[Amount Available for Resident Consumption]]-SUMIFS(ConsumptionModel[Resource Demand],ConsumptionModel[Resource],ResourceMonitor[[#This Row],[Resource]]))</f>
        <v>0</v>
      </c>
      <c r="U46" s="122">
        <f>IFERROR(INDEX(#REF!,MATCH(ResourceMonitor[[#This Row],[Resource]],#REF!,0)),0)</f>
        <v>0</v>
      </c>
      <c r="V46" s="194">
        <f>IFERROR(ResourceMonitor[[#This Row],[Amount Produced]]/ResourceMonitor[[#This Row],[Production Target]],0)</f>
        <v>0</v>
      </c>
      <c r="W46" s="133" t="s">
        <v>242</v>
      </c>
      <c r="X46" s="47">
        <f>IF(ResourceMonitor[[#This Row],[Ignore shipping needs?]]="Yes",0,ROUNDUP(ResourceMonitor[[#This Row],[Production Target]]/INDEX(ShipRequirementCalculator[Cargo capacity/h (return, 50% empty)],MATCH($X$15,ShipRequirementCalculator[Ship],0)),0))</f>
        <v>0</v>
      </c>
      <c r="Y46" s="47">
        <f>IF(ResourceMonitor[[#This Row],[Ignore shipping needs?]]="Yes",0,ROUNDUP(ResourceMonitor[[#This Row],[Production Target]]/INDEX(ShipRequirementCalculator[Cargo capacity/h (return, 50% empty)],MATCH($Y$15,ShipRequirementCalculator[Ship],0)),0))</f>
        <v>0</v>
      </c>
      <c r="Z46" s="47">
        <f>IF(ResourceMonitor[[#This Row],[Ignore shipping needs?]]="Yes",0,ROUNDUP(ResourceMonitor[[#This Row],[Production Target]]/INDEX(ShipRequirementCalculator[Cargo capacity/h (return, 50% empty)],MATCH($Z$15,ShipRequirementCalculator[Ship],0)),0))</f>
        <v>0</v>
      </c>
      <c r="AA46" s="124"/>
      <c r="AD46" s="83">
        <f>ROW()</f>
        <v>46</v>
      </c>
      <c r="AE46" s="106"/>
      <c r="AF46" s="72"/>
      <c r="AG46" s="18"/>
      <c r="AH46" s="18"/>
      <c r="AI46" s="156">
        <f>IFERROR(IslandModel[[#This Row],[Quantity]]/IslandModel[[#This Row],[Target Quantity]],0)</f>
        <v>0</v>
      </c>
      <c r="AJ46" s="61" t="str">
        <f>IFERROR(INDEX(Production[Resource Produced],MATCH(IslandModel[[#This Row],[Building]],Production[Building],0)),"")</f>
        <v/>
      </c>
      <c r="AK46" s="99">
        <f>IFERROR(IslandModel[[#This Row],[Quantity]]*INDEX(Production[Production in 1h],MATCH(IslandModel[[#This Row],[Building]],Production[Building],0))*IslandModel[[#This Row],[Input Consumption Multiplier]],0)</f>
        <v>0</v>
      </c>
      <c r="AL46" s="115">
        <f>100%</f>
        <v>1</v>
      </c>
      <c r="AM46"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46" s="77" t="str">
        <f>IFERROR(INDEX(Production[Input 1],MATCH(IslandModel[[#This Row],[Building]],Production[Building],0)),"")</f>
        <v/>
      </c>
      <c r="AO46" s="78"/>
      <c r="AP46"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46"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46"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46" s="35" t="str">
        <f>IFERROR(INDEX(Production[Input 2],MATCH(IslandModel[[#This Row],[Building]],Production[Building],0)),"")</f>
        <v/>
      </c>
      <c r="AT46" s="78"/>
      <c r="AU46"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46"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46"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46" s="35" t="str">
        <f>IFERROR(INDEX(Production[Input 3],MATCH(IslandModel[[#This Row],[Building]],Production[Building],0)),"")</f>
        <v/>
      </c>
      <c r="AY46" s="78"/>
      <c r="AZ46"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46"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46"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46" s="35" t="str">
        <f>IFERROR(INDEX(Production[Input 4],MATCH(IslandModel[[#This Row],[Building]],Production[Building],0)),"")</f>
        <v/>
      </c>
      <c r="BD46" s="78"/>
      <c r="BE46"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46"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46"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46" s="35" t="str">
        <f>IFERROR(INDEX(Production[Input 5],MATCH(IslandModel[[#This Row],[Building]],Production[Building],0)),"")</f>
        <v/>
      </c>
      <c r="BI46" s="78"/>
      <c r="BJ46"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46"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46"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46" s="35" t="str">
        <f>IFERROR(INDEX(Production[Input 6],MATCH(IslandModel[[#This Row],[Building]],Production[Building],0)),"")</f>
        <v/>
      </c>
      <c r="BN46" s="78"/>
      <c r="BO46"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46"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46"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46" s="35" t="str">
        <f>IFERROR(INDEX(Production[Input 7],MATCH(IslandModel[[#This Row],[Building]],Production[Building],0)),"")</f>
        <v/>
      </c>
      <c r="BS46" s="78"/>
      <c r="BT46"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46"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46"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46" s="35" t="str">
        <f>IFERROR(INDEX(Production[Input 8],MATCH(IslandModel[[#This Row],[Building]],Production[Building],0)),"")</f>
        <v/>
      </c>
      <c r="BX46" s="78"/>
      <c r="BY46"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46"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46"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46" s="35" t="str">
        <f>IFERROR(INDEX(Production[Input 9],MATCH(IslandModel[[#This Row],[Building]],Production[Building],0)),"")</f>
        <v/>
      </c>
      <c r="CC46" s="78"/>
      <c r="CD46"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46"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46"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46" s="35" t="str">
        <f>IFERROR(INDEX(Production[Input 10],MATCH(IslandModel[[#This Row],[Building]],Production[Building],0)),"")</f>
        <v/>
      </c>
      <c r="CH46" s="78"/>
      <c r="CI46"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46"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46"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46"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46" s="82" t="str">
        <f>IslandModel[[#This Row],[Resource Produced]]</f>
        <v/>
      </c>
      <c r="CN46" s="42">
        <f>IslandModel[[#This Row],[Amount produced/h]]</f>
        <v>0</v>
      </c>
      <c r="CO46" s="42" t="str">
        <f>IslandModel[[#This Row],[Input 1]]</f>
        <v/>
      </c>
      <c r="CP46" s="42">
        <f>-IslandModel[[#This Row],[Input 1 Consumed]]</f>
        <v>0</v>
      </c>
      <c r="CQ46" s="42" t="str">
        <f>IslandModel[[#This Row],[Input 2]]</f>
        <v/>
      </c>
      <c r="CR46" s="42">
        <f>-IslandModel[[#This Row],[Input 2 Consumed]]</f>
        <v>0</v>
      </c>
      <c r="CS46" s="42" t="str">
        <f>IslandModel[[#This Row],[Input 3]]</f>
        <v/>
      </c>
      <c r="CT46" s="42">
        <f>-IslandModel[[#This Row],[Input 3 Consumed]]</f>
        <v>0</v>
      </c>
      <c r="CU46" s="42" t="str">
        <f>IslandModel[[#This Row],[Input 4]]</f>
        <v/>
      </c>
      <c r="CV46" s="42">
        <f>-IslandModel[[#This Row],[Input 4 Consumed]]</f>
        <v>0</v>
      </c>
      <c r="CW46" s="42" t="str">
        <f>IslandModel[[#This Row],[Input 5]]</f>
        <v/>
      </c>
      <c r="CX46" s="42">
        <f>-IslandModel[[#This Row],[Input 5 Consumed]]</f>
        <v>0</v>
      </c>
      <c r="CY46" s="42" t="str">
        <f>IslandModel[[#This Row],[Input 6]]</f>
        <v/>
      </c>
      <c r="CZ46" s="42">
        <f>-IslandModel[[#This Row],[Input 6 Consumed]]</f>
        <v>0</v>
      </c>
      <c r="DA46" s="42" t="str">
        <f>IslandModel[[#This Row],[Input 7]]</f>
        <v/>
      </c>
      <c r="DB46" s="42">
        <f>-IslandModel[[#This Row],[Input 7 Consumed]]</f>
        <v>0</v>
      </c>
      <c r="DC46" s="42" t="str">
        <f>IslandModel[[#This Row],[Input 8]]</f>
        <v/>
      </c>
      <c r="DD46" s="42">
        <f>-IslandModel[[#This Row],[Input 8 Consumed]]</f>
        <v>0</v>
      </c>
      <c r="DE46" s="42" t="str">
        <f>IslandModel[[#This Row],[Input 9]]</f>
        <v/>
      </c>
      <c r="DF46" s="42">
        <f>-IslandModel[[#This Row],[Input 9 Consumed]]</f>
        <v>0</v>
      </c>
      <c r="DG46" s="42" t="str">
        <f>IslandModel[[#This Row],[Input 10]]</f>
        <v/>
      </c>
      <c r="DH46" s="42">
        <f>-IslandModel[[#This Row],[Input 10 Consumed]]</f>
        <v>0</v>
      </c>
      <c r="DJ46" t="s">
        <v>91</v>
      </c>
      <c r="DK46" s="39">
        <f>SUM(SUMIFS(IslandModel[Resource 1 Qty],IslandModel[Resource 1],ResourceAvailable[[#This Row],[Resource]]))</f>
        <v>0</v>
      </c>
      <c r="DL46"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46" s="39">
        <f>ResourceAvailable[[#This Row],[Amount Produced]]-ResourceAvailable[[#This Row],[Amount Consumed]]</f>
        <v>0</v>
      </c>
      <c r="DN46" s="20">
        <f>MAX(0,ResourceAvailable[[#This Row],[Amount Available for Resident Consumption]]-SUMIFS(ConsumptionModel[Resource Demand],ConsumptionModel[Resource],ResourceAvailable[[#This Row],[Resource]]))</f>
        <v>0</v>
      </c>
    </row>
    <row r="47" spans="2:118" ht="21" x14ac:dyDescent="0.65">
      <c r="B47" s="178">
        <f>ROW()</f>
        <v>47</v>
      </c>
      <c r="C47" s="70">
        <f>INDEX(ConsumptionModelInputs[Quantity],MATCH(ConsumptionModel[[#This Row],[Building]],ConsumptionModelInputs[Building],0))</f>
        <v>12</v>
      </c>
      <c r="D47" s="179" t="s">
        <v>58</v>
      </c>
      <c r="E47" s="179" t="s">
        <v>108</v>
      </c>
      <c r="F47" s="64" t="str">
        <f>IF(OR(ISBLANK(ConsumptionModel[[#This Row],[Building]]),ISBLANK(ConsumptionModel[[#This Row],[Resource]]))," - ",INDEX(Consumption[Type],MATCH(ConsumptionModel[[#This Row],[LookupValue]],Consumption[LookupValue],0)))</f>
        <v>Need</v>
      </c>
      <c r="G47" s="61" t="str">
        <f>IF(OR(ISBLANK(ConsumptionModel[[#This Row],[Building]]),ISBLANK(ConsumptionModel[[#This Row],[Resource]]))," - ",ConsumptionModel[[#This Row],[Building]]&amp;" - "&amp;ConsumptionModel[[#This Row],[Resource]])</f>
        <v>Merchant's Mansion - Bread</v>
      </c>
      <c r="H47" s="62">
        <f>ConsumptionModel[[#This Row],[Quantity]]*INDEX(Consumption[Consumption/person/h],MATCH(ConsumptionModel[[#This Row],[LookupValue]],Consumption[LookupValue],0))*IFERROR(INDEX(ResidentBuildings[Residents],MATCH(ConsumptionModel[[#This Row],[Building]],ResidentBuildings[Building],0)),0)</f>
        <v>72.000000000000014</v>
      </c>
      <c r="I47"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47" s="65">
        <f>IF(ConsumptionModel[[#This Row],[Quantity]]=0,"",IF(AND(ConsumptionModel[[#This Row],[Resource Demand]]=0,ConsumptionModel[[#This Row],[Resource Available]]&gt;0),1,MIN(1,IFERROR(ConsumptionModel[[#This Row],[Resource Available]]/ConsumptionModel[[#This Row],[Resource Demand]],0))))</f>
        <v>0</v>
      </c>
      <c r="K47"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47" s="197" t="s">
        <v>391</v>
      </c>
      <c r="P47" s="71">
        <f>SUMIFS(ResourceAvailable[Amount Produced],ResourceAvailable[Resource],ResourceMonitor[[#This Row],[Resource]])</f>
        <v>0</v>
      </c>
      <c r="Q47" s="71">
        <f>SUMIFS(ResourceAvailable[Amount Consumed],ResourceAvailable[Resource],ResourceMonitor[[#This Row],[Resource]])</f>
        <v>0</v>
      </c>
      <c r="R47" s="71">
        <f>SUMIFS(ResourceAvailable[Amount Available for Resident Consumption],ResourceAvailable[Resource],ResourceMonitor[[#This Row],[Resource]])</f>
        <v>0</v>
      </c>
      <c r="S47" s="39">
        <f>MAX(0,ResourceMonitor[[#This Row],[Amount Available for Resident Consumption]]-SUMIFS(ConsumptionModel[Resource Demand],ConsumptionModel[Resource],ResourceMonitor[[#This Row],[Resource]]))</f>
        <v>0</v>
      </c>
      <c r="T47" s="39">
        <f>MIN(0,ResourceMonitor[[#This Row],[Amount Available for Resident Consumption]]-SUMIFS(ConsumptionModel[Resource Demand],ConsumptionModel[Resource],ResourceMonitor[[#This Row],[Resource]]))</f>
        <v>0</v>
      </c>
      <c r="U47" s="122">
        <f>IFERROR(INDEX(#REF!,MATCH(ResourceMonitor[[#This Row],[Resource]],#REF!,0)),0)</f>
        <v>0</v>
      </c>
      <c r="V47" s="194">
        <f>IFERROR(ResourceMonitor[[#This Row],[Amount Produced]]/ResourceMonitor[[#This Row],[Production Target]],0)</f>
        <v>0</v>
      </c>
      <c r="W47" s="133"/>
      <c r="X47" s="47">
        <f>IF(ResourceMonitor[[#This Row],[Ignore shipping needs?]]="Yes",0,ROUNDUP(ResourceMonitor[[#This Row],[Production Target]]/INDEX(ShipRequirementCalculator[Cargo capacity/h (return, 50% empty)],MATCH($X$15,ShipRequirementCalculator[Ship],0)),0))</f>
        <v>0</v>
      </c>
      <c r="Y47" s="47">
        <f>IF(ResourceMonitor[[#This Row],[Ignore shipping needs?]]="Yes",0,ROUNDUP(ResourceMonitor[[#This Row],[Production Target]]/INDEX(ShipRequirementCalculator[Cargo capacity/h (return, 50% empty)],MATCH($Y$15,ShipRequirementCalculator[Ship],0)),0))</f>
        <v>0</v>
      </c>
      <c r="Z47" s="47">
        <f>IF(ResourceMonitor[[#This Row],[Ignore shipping needs?]]="Yes",0,ROUNDUP(ResourceMonitor[[#This Row],[Production Target]]/INDEX(ShipRequirementCalculator[Cargo capacity/h (return, 50% empty)],MATCH($Z$15,ShipRequirementCalculator[Ship],0)),0))</f>
        <v>0</v>
      </c>
      <c r="AA47" s="124"/>
      <c r="AD47" s="83">
        <f>ROW()</f>
        <v>47</v>
      </c>
      <c r="AE47" s="106"/>
      <c r="AF47" s="72"/>
      <c r="AG47" s="18"/>
      <c r="AH47" s="18"/>
      <c r="AI47" s="156">
        <f>IFERROR(IslandModel[[#This Row],[Quantity]]/IslandModel[[#This Row],[Target Quantity]],0)</f>
        <v>0</v>
      </c>
      <c r="AJ47" s="61" t="str">
        <f>IFERROR(INDEX(Production[Resource Produced],MATCH(IslandModel[[#This Row],[Building]],Production[Building],0)),"")</f>
        <v/>
      </c>
      <c r="AK47" s="99">
        <f>IFERROR(IslandModel[[#This Row],[Quantity]]*INDEX(Production[Production in 1h],MATCH(IslandModel[[#This Row],[Building]],Production[Building],0))*IslandModel[[#This Row],[Input Consumption Multiplier]],0)</f>
        <v>0</v>
      </c>
      <c r="AL47" s="115">
        <f>100%</f>
        <v>1</v>
      </c>
      <c r="AM47"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47" s="77" t="str">
        <f>IFERROR(INDEX(Production[Input 1],MATCH(IslandModel[[#This Row],[Building]],Production[Building],0)),"")</f>
        <v/>
      </c>
      <c r="AO47" s="78"/>
      <c r="AP47"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47"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47"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47" s="35" t="str">
        <f>IFERROR(INDEX(Production[Input 2],MATCH(IslandModel[[#This Row],[Building]],Production[Building],0)),"")</f>
        <v/>
      </c>
      <c r="AT47" s="78"/>
      <c r="AU47"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47"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47"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47" s="35" t="str">
        <f>IFERROR(INDEX(Production[Input 3],MATCH(IslandModel[[#This Row],[Building]],Production[Building],0)),"")</f>
        <v/>
      </c>
      <c r="AY47" s="78"/>
      <c r="AZ47"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47"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47"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47" s="35" t="str">
        <f>IFERROR(INDEX(Production[Input 4],MATCH(IslandModel[[#This Row],[Building]],Production[Building],0)),"")</f>
        <v/>
      </c>
      <c r="BD47" s="78"/>
      <c r="BE47"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47"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47"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47" s="35" t="str">
        <f>IFERROR(INDEX(Production[Input 5],MATCH(IslandModel[[#This Row],[Building]],Production[Building],0)),"")</f>
        <v/>
      </c>
      <c r="BI47" s="78"/>
      <c r="BJ47"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47"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47"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47" s="35" t="str">
        <f>IFERROR(INDEX(Production[Input 6],MATCH(IslandModel[[#This Row],[Building]],Production[Building],0)),"")</f>
        <v/>
      </c>
      <c r="BN47" s="78"/>
      <c r="BO47"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47"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47"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47" s="35" t="str">
        <f>IFERROR(INDEX(Production[Input 7],MATCH(IslandModel[[#This Row],[Building]],Production[Building],0)),"")</f>
        <v/>
      </c>
      <c r="BS47" s="78"/>
      <c r="BT47"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47"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47"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47" s="35" t="str">
        <f>IFERROR(INDEX(Production[Input 8],MATCH(IslandModel[[#This Row],[Building]],Production[Building],0)),"")</f>
        <v/>
      </c>
      <c r="BX47" s="78"/>
      <c r="BY47"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47"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47"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47" s="35" t="str">
        <f>IFERROR(INDEX(Production[Input 9],MATCH(IslandModel[[#This Row],[Building]],Production[Building],0)),"")</f>
        <v/>
      </c>
      <c r="CC47" s="78"/>
      <c r="CD47"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47"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47"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47" s="35" t="str">
        <f>IFERROR(INDEX(Production[Input 10],MATCH(IslandModel[[#This Row],[Building]],Production[Building],0)),"")</f>
        <v/>
      </c>
      <c r="CH47" s="78"/>
      <c r="CI47"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47"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47"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47"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47" s="82" t="str">
        <f>IslandModel[[#This Row],[Resource Produced]]</f>
        <v/>
      </c>
      <c r="CN47" s="42">
        <f>IslandModel[[#This Row],[Amount produced/h]]</f>
        <v>0</v>
      </c>
      <c r="CO47" s="42" t="str">
        <f>IslandModel[[#This Row],[Input 1]]</f>
        <v/>
      </c>
      <c r="CP47" s="42">
        <f>-IslandModel[[#This Row],[Input 1 Consumed]]</f>
        <v>0</v>
      </c>
      <c r="CQ47" s="42" t="str">
        <f>IslandModel[[#This Row],[Input 2]]</f>
        <v/>
      </c>
      <c r="CR47" s="42">
        <f>-IslandModel[[#This Row],[Input 2 Consumed]]</f>
        <v>0</v>
      </c>
      <c r="CS47" s="42" t="str">
        <f>IslandModel[[#This Row],[Input 3]]</f>
        <v/>
      </c>
      <c r="CT47" s="42">
        <f>-IslandModel[[#This Row],[Input 3 Consumed]]</f>
        <v>0</v>
      </c>
      <c r="CU47" s="42" t="str">
        <f>IslandModel[[#This Row],[Input 4]]</f>
        <v/>
      </c>
      <c r="CV47" s="42">
        <f>-IslandModel[[#This Row],[Input 4 Consumed]]</f>
        <v>0</v>
      </c>
      <c r="CW47" s="42" t="str">
        <f>IslandModel[[#This Row],[Input 5]]</f>
        <v/>
      </c>
      <c r="CX47" s="42">
        <f>-IslandModel[[#This Row],[Input 5 Consumed]]</f>
        <v>0</v>
      </c>
      <c r="CY47" s="42" t="str">
        <f>IslandModel[[#This Row],[Input 6]]</f>
        <v/>
      </c>
      <c r="CZ47" s="42">
        <f>-IslandModel[[#This Row],[Input 6 Consumed]]</f>
        <v>0</v>
      </c>
      <c r="DA47" s="42" t="str">
        <f>IslandModel[[#This Row],[Input 7]]</f>
        <v/>
      </c>
      <c r="DB47" s="42">
        <f>-IslandModel[[#This Row],[Input 7 Consumed]]</f>
        <v>0</v>
      </c>
      <c r="DC47" s="42" t="str">
        <f>IslandModel[[#This Row],[Input 8]]</f>
        <v/>
      </c>
      <c r="DD47" s="42">
        <f>-IslandModel[[#This Row],[Input 8 Consumed]]</f>
        <v>0</v>
      </c>
      <c r="DE47" s="42" t="str">
        <f>IslandModel[[#This Row],[Input 9]]</f>
        <v/>
      </c>
      <c r="DF47" s="42">
        <f>-IslandModel[[#This Row],[Input 9 Consumed]]</f>
        <v>0</v>
      </c>
      <c r="DG47" s="42" t="str">
        <f>IslandModel[[#This Row],[Input 10]]</f>
        <v/>
      </c>
      <c r="DH47" s="42">
        <f>-IslandModel[[#This Row],[Input 10 Consumed]]</f>
        <v>0</v>
      </c>
      <c r="DJ47" s="55" t="s">
        <v>95</v>
      </c>
      <c r="DK47" s="39">
        <f>SUM(SUMIFS(IslandModel[Resource 1 Qty],IslandModel[Resource 1],ResourceAvailable[[#This Row],[Resource]]))</f>
        <v>0</v>
      </c>
      <c r="DL47"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47" s="39">
        <f>ResourceAvailable[[#This Row],[Amount Produced]]-ResourceAvailable[[#This Row],[Amount Consumed]]</f>
        <v>0</v>
      </c>
      <c r="DN47" s="20">
        <f>MAX(0,ResourceAvailable[[#This Row],[Amount Available for Resident Consumption]]-SUMIFS(ConsumptionModel[Resource Demand],ConsumptionModel[Resource],ResourceAvailable[[#This Row],[Resource]]))</f>
        <v>0</v>
      </c>
    </row>
    <row r="48" spans="2:118" ht="21" x14ac:dyDescent="0.65">
      <c r="B48" s="178">
        <f>ROW()</f>
        <v>48</v>
      </c>
      <c r="C48" s="70">
        <f>INDEX(ConsumptionModelInputs[Quantity],MATCH(ConsumptionModel[[#This Row],[Building]],ConsumptionModelInputs[Building],0))</f>
        <v>12</v>
      </c>
      <c r="D48" s="179" t="s">
        <v>58</v>
      </c>
      <c r="E48" s="179" t="s">
        <v>137</v>
      </c>
      <c r="F48" s="64" t="str">
        <f>IF(OR(ISBLANK(ConsumptionModel[[#This Row],[Building]]),ISBLANK(ConsumptionModel[[#This Row],[Resource]]))," - ",INDEX(Consumption[Type],MATCH(ConsumptionModel[[#This Row],[LookupValue]],Consumption[LookupValue],0)))</f>
        <v>Luxury</v>
      </c>
      <c r="G48" s="61" t="str">
        <f>IF(OR(ISBLANK(ConsumptionModel[[#This Row],[Building]]),ISBLANK(ConsumptionModel[[#This Row],[Resource]]))," - ",ConsumptionModel[[#This Row],[Building]]&amp;" - "&amp;ConsumptionModel[[#This Row],[Resource]])</f>
        <v>Merchant's Mansion - Clothes</v>
      </c>
      <c r="H48" s="62">
        <f>ConsumptionModel[[#This Row],[Quantity]]*INDEX(Consumption[Consumption/person/h],MATCH(ConsumptionModel[[#This Row],[LookupValue]],Consumption[LookupValue],0))*IFERROR(INDEX(ResidentBuildings[Residents],MATCH(ConsumptionModel[[#This Row],[Building]],ResidentBuildings[Building],0)),0)</f>
        <v>36.000000000000007</v>
      </c>
      <c r="I48"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48" s="65">
        <f>IF(ConsumptionModel[[#This Row],[Quantity]]=0,"",IF(AND(ConsumptionModel[[#This Row],[Resource Demand]]=0,ConsumptionModel[[#This Row],[Resource Available]]&gt;0),1,MIN(1,IFERROR(ConsumptionModel[[#This Row],[Resource Available]]/ConsumptionModel[[#This Row],[Resource Demand]],0))))</f>
        <v>0</v>
      </c>
      <c r="K48"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48" s="197" t="s">
        <v>87</v>
      </c>
      <c r="P48" s="71">
        <f>SUMIFS(ResourceAvailable[Amount Produced],ResourceAvailable[Resource],ResourceMonitor[[#This Row],[Resource]])</f>
        <v>0</v>
      </c>
      <c r="Q48" s="71">
        <f>SUMIFS(ResourceAvailable[Amount Consumed],ResourceAvailable[Resource],ResourceMonitor[[#This Row],[Resource]])</f>
        <v>0</v>
      </c>
      <c r="R48" s="71">
        <f>SUMIFS(ResourceAvailable[Amount Available for Resident Consumption],ResourceAvailable[Resource],ResourceMonitor[[#This Row],[Resource]])</f>
        <v>0</v>
      </c>
      <c r="S48" s="39">
        <f>MAX(0,ResourceMonitor[[#This Row],[Amount Available for Resident Consumption]]-SUMIFS(ConsumptionModel[Resource Demand],ConsumptionModel[Resource],ResourceMonitor[[#This Row],[Resource]]))</f>
        <v>0</v>
      </c>
      <c r="T48" s="39">
        <f>MIN(0,ResourceMonitor[[#This Row],[Amount Available for Resident Consumption]]-SUMIFS(ConsumptionModel[Resource Demand],ConsumptionModel[Resource],ResourceMonitor[[#This Row],[Resource]]))</f>
        <v>0</v>
      </c>
      <c r="U48" s="122">
        <f>IFERROR(INDEX(#REF!,MATCH(ResourceMonitor[[#This Row],[Resource]],#REF!,0)),0)</f>
        <v>0</v>
      </c>
      <c r="V48" s="194">
        <f>IFERROR(ResourceMonitor[[#This Row],[Amount Produced]]/ResourceMonitor[[#This Row],[Production Target]],0)</f>
        <v>0</v>
      </c>
      <c r="W48" s="133"/>
      <c r="X48" s="47">
        <f>IF(ResourceMonitor[[#This Row],[Ignore shipping needs?]]="Yes",0,ROUNDUP(ResourceMonitor[[#This Row],[Production Target]]/INDEX(ShipRequirementCalculator[Cargo capacity/h (return, 50% empty)],MATCH($X$15,ShipRequirementCalculator[Ship],0)),0))</f>
        <v>0</v>
      </c>
      <c r="Y48" s="47">
        <f>IF(ResourceMonitor[[#This Row],[Ignore shipping needs?]]="Yes",0,ROUNDUP(ResourceMonitor[[#This Row],[Production Target]]/INDEX(ShipRequirementCalculator[Cargo capacity/h (return, 50% empty)],MATCH($Y$15,ShipRequirementCalculator[Ship],0)),0))</f>
        <v>0</v>
      </c>
      <c r="Z48" s="47">
        <f>IF(ResourceMonitor[[#This Row],[Ignore shipping needs?]]="Yes",0,ROUNDUP(ResourceMonitor[[#This Row],[Production Target]]/INDEX(ShipRequirementCalculator[Cargo capacity/h (return, 50% empty)],MATCH($Z$15,ShipRequirementCalculator[Ship],0)),0))</f>
        <v>0</v>
      </c>
      <c r="AA48" s="124"/>
      <c r="AD48" s="83">
        <f>ROW()</f>
        <v>48</v>
      </c>
      <c r="AE48" s="106"/>
      <c r="AF48" s="72"/>
      <c r="AG48" s="18"/>
      <c r="AH48" s="18"/>
      <c r="AI48" s="156">
        <f>IFERROR(IslandModel[[#This Row],[Quantity]]/IslandModel[[#This Row],[Target Quantity]],0)</f>
        <v>0</v>
      </c>
      <c r="AJ48" s="61" t="str">
        <f>IFERROR(INDEX(Production[Resource Produced],MATCH(IslandModel[[#This Row],[Building]],Production[Building],0)),"")</f>
        <v/>
      </c>
      <c r="AK48" s="99">
        <f>IFERROR(IslandModel[[#This Row],[Quantity]]*INDEX(Production[Production in 1h],MATCH(IslandModel[[#This Row],[Building]],Production[Building],0))*IslandModel[[#This Row],[Input Consumption Multiplier]],0)</f>
        <v>0</v>
      </c>
      <c r="AL48" s="115">
        <f>100%</f>
        <v>1</v>
      </c>
      <c r="AM48"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48" s="77" t="str">
        <f>IFERROR(INDEX(Production[Input 1],MATCH(IslandModel[[#This Row],[Building]],Production[Building],0)),"")</f>
        <v/>
      </c>
      <c r="AO48" s="78"/>
      <c r="AP48"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48"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48"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48" s="35" t="str">
        <f>IFERROR(INDEX(Production[Input 2],MATCH(IslandModel[[#This Row],[Building]],Production[Building],0)),"")</f>
        <v/>
      </c>
      <c r="AT48" s="78"/>
      <c r="AU48"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48"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48"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48" s="35" t="str">
        <f>IFERROR(INDEX(Production[Input 3],MATCH(IslandModel[[#This Row],[Building]],Production[Building],0)),"")</f>
        <v/>
      </c>
      <c r="AY48" s="78"/>
      <c r="AZ48"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48"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48"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48" s="35" t="str">
        <f>IFERROR(INDEX(Production[Input 4],MATCH(IslandModel[[#This Row],[Building]],Production[Building],0)),"")</f>
        <v/>
      </c>
      <c r="BD48" s="78"/>
      <c r="BE48"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48"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48"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48" s="35" t="str">
        <f>IFERROR(INDEX(Production[Input 5],MATCH(IslandModel[[#This Row],[Building]],Production[Building],0)),"")</f>
        <v/>
      </c>
      <c r="BI48" s="78"/>
      <c r="BJ48"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48"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48"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48" s="35" t="str">
        <f>IFERROR(INDEX(Production[Input 6],MATCH(IslandModel[[#This Row],[Building]],Production[Building],0)),"")</f>
        <v/>
      </c>
      <c r="BN48" s="78"/>
      <c r="BO48"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48"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48"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48" s="35" t="str">
        <f>IFERROR(INDEX(Production[Input 7],MATCH(IslandModel[[#This Row],[Building]],Production[Building],0)),"")</f>
        <v/>
      </c>
      <c r="BS48" s="78"/>
      <c r="BT48"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48"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48"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48" s="35" t="str">
        <f>IFERROR(INDEX(Production[Input 8],MATCH(IslandModel[[#This Row],[Building]],Production[Building],0)),"")</f>
        <v/>
      </c>
      <c r="BX48" s="78"/>
      <c r="BY48"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48"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48"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48" s="35" t="str">
        <f>IFERROR(INDEX(Production[Input 9],MATCH(IslandModel[[#This Row],[Building]],Production[Building],0)),"")</f>
        <v/>
      </c>
      <c r="CC48" s="78"/>
      <c r="CD48"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48"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48"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48" s="35" t="str">
        <f>IFERROR(INDEX(Production[Input 10],MATCH(IslandModel[[#This Row],[Building]],Production[Building],0)),"")</f>
        <v/>
      </c>
      <c r="CH48" s="78"/>
      <c r="CI48"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48"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48"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48"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48" s="82" t="str">
        <f>IslandModel[[#This Row],[Resource Produced]]</f>
        <v/>
      </c>
      <c r="CN48" s="42">
        <f>IslandModel[[#This Row],[Amount produced/h]]</f>
        <v>0</v>
      </c>
      <c r="CO48" s="42" t="str">
        <f>IslandModel[[#This Row],[Input 1]]</f>
        <v/>
      </c>
      <c r="CP48" s="42">
        <f>-IslandModel[[#This Row],[Input 1 Consumed]]</f>
        <v>0</v>
      </c>
      <c r="CQ48" s="42" t="str">
        <f>IslandModel[[#This Row],[Input 2]]</f>
        <v/>
      </c>
      <c r="CR48" s="42">
        <f>-IslandModel[[#This Row],[Input 2 Consumed]]</f>
        <v>0</v>
      </c>
      <c r="CS48" s="42" t="str">
        <f>IslandModel[[#This Row],[Input 3]]</f>
        <v/>
      </c>
      <c r="CT48" s="42">
        <f>-IslandModel[[#This Row],[Input 3 Consumed]]</f>
        <v>0</v>
      </c>
      <c r="CU48" s="42" t="str">
        <f>IslandModel[[#This Row],[Input 4]]</f>
        <v/>
      </c>
      <c r="CV48" s="42">
        <f>-IslandModel[[#This Row],[Input 4 Consumed]]</f>
        <v>0</v>
      </c>
      <c r="CW48" s="42" t="str">
        <f>IslandModel[[#This Row],[Input 5]]</f>
        <v/>
      </c>
      <c r="CX48" s="42">
        <f>-IslandModel[[#This Row],[Input 5 Consumed]]</f>
        <v>0</v>
      </c>
      <c r="CY48" s="42" t="str">
        <f>IslandModel[[#This Row],[Input 6]]</f>
        <v/>
      </c>
      <c r="CZ48" s="42">
        <f>-IslandModel[[#This Row],[Input 6 Consumed]]</f>
        <v>0</v>
      </c>
      <c r="DA48" s="42" t="str">
        <f>IslandModel[[#This Row],[Input 7]]</f>
        <v/>
      </c>
      <c r="DB48" s="42">
        <f>-IslandModel[[#This Row],[Input 7 Consumed]]</f>
        <v>0</v>
      </c>
      <c r="DC48" s="42" t="str">
        <f>IslandModel[[#This Row],[Input 8]]</f>
        <v/>
      </c>
      <c r="DD48" s="42">
        <f>-IslandModel[[#This Row],[Input 8 Consumed]]</f>
        <v>0</v>
      </c>
      <c r="DE48" s="42" t="str">
        <f>IslandModel[[#This Row],[Input 9]]</f>
        <v/>
      </c>
      <c r="DF48" s="42">
        <f>-IslandModel[[#This Row],[Input 9 Consumed]]</f>
        <v>0</v>
      </c>
      <c r="DG48" s="42" t="str">
        <f>IslandModel[[#This Row],[Input 10]]</f>
        <v/>
      </c>
      <c r="DH48" s="42">
        <f>-IslandModel[[#This Row],[Input 10 Consumed]]</f>
        <v>0</v>
      </c>
      <c r="DJ48" t="s">
        <v>175</v>
      </c>
      <c r="DK48" s="39">
        <f>SUM(SUMIFS(IslandModel[Resource 1 Qty],IslandModel[Resource 1],ResourceAvailable[[#This Row],[Resource]]))</f>
        <v>0</v>
      </c>
      <c r="DL48"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48" s="39">
        <f>ResourceAvailable[[#This Row],[Amount Produced]]-ResourceAvailable[[#This Row],[Amount Consumed]]</f>
        <v>0</v>
      </c>
      <c r="DN48" s="20">
        <f>MAX(0,ResourceAvailable[[#This Row],[Amount Available for Resident Consumption]]-SUMIFS(ConsumptionModel[Resource Demand],ConsumptionModel[Resource],ResourceAvailable[[#This Row],[Resource]]))</f>
        <v>0</v>
      </c>
    </row>
    <row r="49" spans="2:118" ht="21" x14ac:dyDescent="0.65">
      <c r="B49" s="178">
        <f>ROW()</f>
        <v>49</v>
      </c>
      <c r="C49" s="70">
        <f>INDEX(ConsumptionModelInputs[Quantity],MATCH(ConsumptionModel[[#This Row],[Building]],ConsumptionModelInputs[Building],0))</f>
        <v>12</v>
      </c>
      <c r="D49" s="179" t="s">
        <v>58</v>
      </c>
      <c r="E49" s="179" t="s">
        <v>146</v>
      </c>
      <c r="F49" s="64" t="str">
        <f>IF(OR(ISBLANK(ConsumptionModel[[#This Row],[Building]]),ISBLANK(ConsumptionModel[[#This Row],[Resource]]))," - ",INDEX(Consumption[Type],MATCH(ConsumptionModel[[#This Row],[LookupValue]],Consumption[LookupValue],0)))</f>
        <v>Luxury</v>
      </c>
      <c r="G49" s="61" t="str">
        <f>IF(OR(ISBLANK(ConsumptionModel[[#This Row],[Building]]),ISBLANK(ConsumptionModel[[#This Row],[Resource]]))," - ",ConsumptionModel[[#This Row],[Building]]&amp;" - "&amp;ConsumptionModel[[#This Row],[Resource]])</f>
        <v>Merchant's Mansion - Beer</v>
      </c>
      <c r="H49" s="62">
        <f>ConsumptionModel[[#This Row],[Quantity]]*INDEX(Consumption[Consumption/person/h],MATCH(ConsumptionModel[[#This Row],[LookupValue]],Consumption[LookupValue],0))*IFERROR(INDEX(ResidentBuildings[Residents],MATCH(ConsumptionModel[[#This Row],[Building]],ResidentBuildings[Building],0)),0)</f>
        <v>72.000000000000014</v>
      </c>
      <c r="I49"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49" s="65">
        <f>IF(ConsumptionModel[[#This Row],[Quantity]]=0,"",IF(AND(ConsumptionModel[[#This Row],[Resource Demand]]=0,ConsumptionModel[[#This Row],[Resource Available]]&gt;0),1,MIN(1,IFERROR(ConsumptionModel[[#This Row],[Resource Available]]/ConsumptionModel[[#This Row],[Resource Demand]],0))))</f>
        <v>0</v>
      </c>
      <c r="K49"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49" s="197"/>
      <c r="P49" s="71">
        <f>SUMIFS(ResourceAvailable[Amount Produced],ResourceAvailable[Resource],ResourceMonitor[[#This Row],[Resource]])</f>
        <v>0</v>
      </c>
      <c r="Q49" s="71">
        <f>SUMIFS(ResourceAvailable[Amount Consumed],ResourceAvailable[Resource],ResourceMonitor[[#This Row],[Resource]])</f>
        <v>0</v>
      </c>
      <c r="R49" s="71">
        <f>SUMIFS(ResourceAvailable[Amount Available for Resident Consumption],ResourceAvailable[Resource],ResourceMonitor[[#This Row],[Resource]])</f>
        <v>0</v>
      </c>
      <c r="S49" s="39">
        <f>MAX(0,ResourceMonitor[[#This Row],[Amount Available for Resident Consumption]]-SUMIFS(ConsumptionModel[Resource Demand],ConsumptionModel[Resource],ResourceMonitor[[#This Row],[Resource]]))</f>
        <v>0</v>
      </c>
      <c r="T49" s="39">
        <f>MIN(0,ResourceMonitor[[#This Row],[Amount Available for Resident Consumption]]-SUMIFS(ConsumptionModel[Resource Demand],ConsumptionModel[Resource],ResourceMonitor[[#This Row],[Resource]]))</f>
        <v>0</v>
      </c>
      <c r="U49" s="122">
        <f>IFERROR(INDEX(#REF!,MATCH(ResourceMonitor[[#This Row],[Resource]],#REF!,0)),0)</f>
        <v>0</v>
      </c>
      <c r="V49" s="194">
        <f>IFERROR(ResourceMonitor[[#This Row],[Amount Produced]]/ResourceMonitor[[#This Row],[Production Target]],0)</f>
        <v>0</v>
      </c>
      <c r="W49" s="133"/>
      <c r="X49" s="47">
        <f>IF(ResourceMonitor[[#This Row],[Ignore shipping needs?]]="Yes",0,ROUNDUP(ResourceMonitor[[#This Row],[Production Target]]/INDEX(ShipRequirementCalculator[Cargo capacity/h (return, 50% empty)],MATCH($X$15,ShipRequirementCalculator[Ship],0)),0))</f>
        <v>0</v>
      </c>
      <c r="Y49" s="47">
        <f>IF(ResourceMonitor[[#This Row],[Ignore shipping needs?]]="Yes",0,ROUNDUP(ResourceMonitor[[#This Row],[Production Target]]/INDEX(ShipRequirementCalculator[Cargo capacity/h (return, 50% empty)],MATCH($Y$15,ShipRequirementCalculator[Ship],0)),0))</f>
        <v>0</v>
      </c>
      <c r="Z49" s="47">
        <f>IF(ResourceMonitor[[#This Row],[Ignore shipping needs?]]="Yes",0,ROUNDUP(ResourceMonitor[[#This Row],[Production Target]]/INDEX(ShipRequirementCalculator[Cargo capacity/h (return, 50% empty)],MATCH($Z$15,ShipRequirementCalculator[Ship],0)),0))</f>
        <v>0</v>
      </c>
      <c r="AA49" s="124"/>
      <c r="AD49" s="83">
        <f>ROW()</f>
        <v>49</v>
      </c>
      <c r="AE49" s="106"/>
      <c r="AF49" s="72"/>
      <c r="AG49" s="18"/>
      <c r="AH49" s="18"/>
      <c r="AI49" s="156">
        <f>IFERROR(IslandModel[[#This Row],[Quantity]]/IslandModel[[#This Row],[Target Quantity]],0)</f>
        <v>0</v>
      </c>
      <c r="AJ49" s="61" t="str">
        <f>IFERROR(INDEX(Production[Resource Produced],MATCH(IslandModel[[#This Row],[Building]],Production[Building],0)),"")</f>
        <v/>
      </c>
      <c r="AK49" s="99">
        <f>IFERROR(IslandModel[[#This Row],[Quantity]]*INDEX(Production[Production in 1h],MATCH(IslandModel[[#This Row],[Building]],Production[Building],0))*IslandModel[[#This Row],[Input Consumption Multiplier]],0)</f>
        <v>0</v>
      </c>
      <c r="AL49" s="115">
        <f>100%</f>
        <v>1</v>
      </c>
      <c r="AM49"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49" s="77" t="str">
        <f>IFERROR(INDEX(Production[Input 1],MATCH(IslandModel[[#This Row],[Building]],Production[Building],0)),"")</f>
        <v/>
      </c>
      <c r="AO49" s="78"/>
      <c r="AP49"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49"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49"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49" s="35" t="str">
        <f>IFERROR(INDEX(Production[Input 2],MATCH(IslandModel[[#This Row],[Building]],Production[Building],0)),"")</f>
        <v/>
      </c>
      <c r="AT49" s="78"/>
      <c r="AU49"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49"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49"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49" s="35" t="str">
        <f>IFERROR(INDEX(Production[Input 3],MATCH(IslandModel[[#This Row],[Building]],Production[Building],0)),"")</f>
        <v/>
      </c>
      <c r="AY49" s="78"/>
      <c r="AZ49"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49"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49"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49" s="35" t="str">
        <f>IFERROR(INDEX(Production[Input 4],MATCH(IslandModel[[#This Row],[Building]],Production[Building],0)),"")</f>
        <v/>
      </c>
      <c r="BD49" s="78"/>
      <c r="BE49"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49"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49"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49" s="35" t="str">
        <f>IFERROR(INDEX(Production[Input 5],MATCH(IslandModel[[#This Row],[Building]],Production[Building],0)),"")</f>
        <v/>
      </c>
      <c r="BI49" s="78"/>
      <c r="BJ49"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49"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49"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49" s="35" t="str">
        <f>IFERROR(INDEX(Production[Input 6],MATCH(IslandModel[[#This Row],[Building]],Production[Building],0)),"")</f>
        <v/>
      </c>
      <c r="BN49" s="78"/>
      <c r="BO49"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49"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49"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49" s="35" t="str">
        <f>IFERROR(INDEX(Production[Input 7],MATCH(IslandModel[[#This Row],[Building]],Production[Building],0)),"")</f>
        <v/>
      </c>
      <c r="BS49" s="78"/>
      <c r="BT49"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49"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49"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49" s="35" t="str">
        <f>IFERROR(INDEX(Production[Input 8],MATCH(IslandModel[[#This Row],[Building]],Production[Building],0)),"")</f>
        <v/>
      </c>
      <c r="BX49" s="78"/>
      <c r="BY49"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49"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49"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49" s="35" t="str">
        <f>IFERROR(INDEX(Production[Input 9],MATCH(IslandModel[[#This Row],[Building]],Production[Building],0)),"")</f>
        <v/>
      </c>
      <c r="CC49" s="78"/>
      <c r="CD49"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49"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49"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49" s="35" t="str">
        <f>IFERROR(INDEX(Production[Input 10],MATCH(IslandModel[[#This Row],[Building]],Production[Building],0)),"")</f>
        <v/>
      </c>
      <c r="CH49" s="78"/>
      <c r="CI49"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49"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49"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49"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49" s="82" t="str">
        <f>IslandModel[[#This Row],[Resource Produced]]</f>
        <v/>
      </c>
      <c r="CN49" s="42">
        <f>IslandModel[[#This Row],[Amount produced/h]]</f>
        <v>0</v>
      </c>
      <c r="CO49" s="42" t="str">
        <f>IslandModel[[#This Row],[Input 1]]</f>
        <v/>
      </c>
      <c r="CP49" s="42">
        <f>-IslandModel[[#This Row],[Input 1 Consumed]]</f>
        <v>0</v>
      </c>
      <c r="CQ49" s="42" t="str">
        <f>IslandModel[[#This Row],[Input 2]]</f>
        <v/>
      </c>
      <c r="CR49" s="42">
        <f>-IslandModel[[#This Row],[Input 2 Consumed]]</f>
        <v>0</v>
      </c>
      <c r="CS49" s="42" t="str">
        <f>IslandModel[[#This Row],[Input 3]]</f>
        <v/>
      </c>
      <c r="CT49" s="42">
        <f>-IslandModel[[#This Row],[Input 3 Consumed]]</f>
        <v>0</v>
      </c>
      <c r="CU49" s="42" t="str">
        <f>IslandModel[[#This Row],[Input 4]]</f>
        <v/>
      </c>
      <c r="CV49" s="42">
        <f>-IslandModel[[#This Row],[Input 4 Consumed]]</f>
        <v>0</v>
      </c>
      <c r="CW49" s="42" t="str">
        <f>IslandModel[[#This Row],[Input 5]]</f>
        <v/>
      </c>
      <c r="CX49" s="42">
        <f>-IslandModel[[#This Row],[Input 5 Consumed]]</f>
        <v>0</v>
      </c>
      <c r="CY49" s="42" t="str">
        <f>IslandModel[[#This Row],[Input 6]]</f>
        <v/>
      </c>
      <c r="CZ49" s="42">
        <f>-IslandModel[[#This Row],[Input 6 Consumed]]</f>
        <v>0</v>
      </c>
      <c r="DA49" s="42" t="str">
        <f>IslandModel[[#This Row],[Input 7]]</f>
        <v/>
      </c>
      <c r="DB49" s="42">
        <f>-IslandModel[[#This Row],[Input 7 Consumed]]</f>
        <v>0</v>
      </c>
      <c r="DC49" s="42" t="str">
        <f>IslandModel[[#This Row],[Input 8]]</f>
        <v/>
      </c>
      <c r="DD49" s="42">
        <f>-IslandModel[[#This Row],[Input 8 Consumed]]</f>
        <v>0</v>
      </c>
      <c r="DE49" s="42" t="str">
        <f>IslandModel[[#This Row],[Input 9]]</f>
        <v/>
      </c>
      <c r="DF49" s="42">
        <f>-IslandModel[[#This Row],[Input 9 Consumed]]</f>
        <v>0</v>
      </c>
      <c r="DG49" s="42" t="str">
        <f>IslandModel[[#This Row],[Input 10]]</f>
        <v/>
      </c>
      <c r="DH49" s="42">
        <f>-IslandModel[[#This Row],[Input 10 Consumed]]</f>
        <v>0</v>
      </c>
      <c r="DJ49" s="55" t="s">
        <v>18</v>
      </c>
      <c r="DK49" s="39">
        <f>SUM(SUMIFS(IslandModel[Resource 1 Qty],IslandModel[Resource 1],ResourceAvailable[[#This Row],[Resource]]))</f>
        <v>0</v>
      </c>
      <c r="DL49"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49" s="39">
        <f>ResourceAvailable[[#This Row],[Amount Produced]]-ResourceAvailable[[#This Row],[Amount Consumed]]</f>
        <v>0</v>
      </c>
      <c r="DN49" s="20">
        <f>MAX(0,ResourceAvailable[[#This Row],[Amount Available for Resident Consumption]]-SUMIFS(ConsumptionModel[Resource Demand],ConsumptionModel[Resource],ResourceAvailable[[#This Row],[Resource]]))</f>
        <v>0</v>
      </c>
    </row>
    <row r="50" spans="2:118" ht="21" x14ac:dyDescent="0.65">
      <c r="B50" s="178">
        <f>ROW()</f>
        <v>50</v>
      </c>
      <c r="C50" s="70">
        <f>INDEX(ConsumptionModelInputs[Quantity],MATCH(ConsumptionModel[[#This Row],[Building]],ConsumptionModelInputs[Building],0))</f>
        <v>12</v>
      </c>
      <c r="D50" s="179" t="s">
        <v>58</v>
      </c>
      <c r="E50" s="179" t="s">
        <v>167</v>
      </c>
      <c r="F50" s="64" t="str">
        <f>IF(OR(ISBLANK(ConsumptionModel[[#This Row],[Building]]),ISBLANK(ConsumptionModel[[#This Row],[Resource]]))," - ",INDEX(Consumption[Type],MATCH(ConsumptionModel[[#This Row],[LookupValue]],Consumption[LookupValue],0)))</f>
        <v>Luxury</v>
      </c>
      <c r="G50" s="61" t="str">
        <f>IF(OR(ISBLANK(ConsumptionModel[[#This Row],[Building]]),ISBLANK(ConsumptionModel[[#This Row],[Resource]]))," - ",ConsumptionModel[[#This Row],[Building]]&amp;" - "&amp;ConsumptionModel[[#This Row],[Resource]])</f>
        <v>Merchant's Mansion - Meat</v>
      </c>
      <c r="H50" s="62">
        <f>ConsumptionModel[[#This Row],[Quantity]]*INDEX(Consumption[Consumption/person/h],MATCH(ConsumptionModel[[#This Row],[LookupValue]],Consumption[LookupValue],0))*IFERROR(INDEX(ResidentBuildings[Residents],MATCH(ConsumptionModel[[#This Row],[Building]],ResidentBuildings[Building],0)),0)</f>
        <v>144.00000000000003</v>
      </c>
      <c r="I50"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50" s="65">
        <f>IF(ConsumptionModel[[#This Row],[Quantity]]=0,"",IF(AND(ConsumptionModel[[#This Row],[Resource Demand]]=0,ConsumptionModel[[#This Row],[Resource Available]]&gt;0),1,MIN(1,IFERROR(ConsumptionModel[[#This Row],[Resource Available]]/ConsumptionModel[[#This Row],[Resource Demand]],0))))</f>
        <v>0</v>
      </c>
      <c r="K50"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50" s="197"/>
      <c r="P50" s="71">
        <f>SUMIFS(ResourceAvailable[Amount Produced],ResourceAvailable[Resource],ResourceMonitor[[#This Row],[Resource]])</f>
        <v>0</v>
      </c>
      <c r="Q50" s="71">
        <f>SUMIFS(ResourceAvailable[Amount Consumed],ResourceAvailable[Resource],ResourceMonitor[[#This Row],[Resource]])</f>
        <v>0</v>
      </c>
      <c r="R50" s="71">
        <f>SUMIFS(ResourceAvailable[Amount Available for Resident Consumption],ResourceAvailable[Resource],ResourceMonitor[[#This Row],[Resource]])</f>
        <v>0</v>
      </c>
      <c r="S50" s="39">
        <f>MAX(0,ResourceMonitor[[#This Row],[Amount Available for Resident Consumption]]-SUMIFS(ConsumptionModel[Resource Demand],ConsumptionModel[Resource],ResourceMonitor[[#This Row],[Resource]]))</f>
        <v>0</v>
      </c>
      <c r="T50" s="39">
        <f>MIN(0,ResourceMonitor[[#This Row],[Amount Available for Resident Consumption]]-SUMIFS(ConsumptionModel[Resource Demand],ConsumptionModel[Resource],ResourceMonitor[[#This Row],[Resource]]))</f>
        <v>0</v>
      </c>
      <c r="U50" s="122">
        <f>IFERROR(INDEX(#REF!,MATCH(ResourceMonitor[[#This Row],[Resource]],#REF!,0)),0)</f>
        <v>0</v>
      </c>
      <c r="V50" s="194">
        <f>IFERROR(ResourceMonitor[[#This Row],[Amount Produced]]/ResourceMonitor[[#This Row],[Production Target]],0)</f>
        <v>0</v>
      </c>
      <c r="W50" s="133"/>
      <c r="X50" s="47">
        <f>IF(ResourceMonitor[[#This Row],[Ignore shipping needs?]]="Yes",0,ROUNDUP(ResourceMonitor[[#This Row],[Production Target]]/INDEX(ShipRequirementCalculator[Cargo capacity/h (return, 50% empty)],MATCH($X$15,ShipRequirementCalculator[Ship],0)),0))</f>
        <v>0</v>
      </c>
      <c r="Y50" s="47">
        <f>IF(ResourceMonitor[[#This Row],[Ignore shipping needs?]]="Yes",0,ROUNDUP(ResourceMonitor[[#This Row],[Production Target]]/INDEX(ShipRequirementCalculator[Cargo capacity/h (return, 50% empty)],MATCH($Y$15,ShipRequirementCalculator[Ship],0)),0))</f>
        <v>0</v>
      </c>
      <c r="Z50" s="47">
        <f>IF(ResourceMonitor[[#This Row],[Ignore shipping needs?]]="Yes",0,ROUNDUP(ResourceMonitor[[#This Row],[Production Target]]/INDEX(ShipRequirementCalculator[Cargo capacity/h (return, 50% empty)],MATCH($Z$15,ShipRequirementCalculator[Ship],0)),0))</f>
        <v>0</v>
      </c>
      <c r="AA50" s="124"/>
      <c r="AD50" s="83">
        <f>ROW()</f>
        <v>50</v>
      </c>
      <c r="AE50" s="106"/>
      <c r="AF50" s="72"/>
      <c r="AG50" s="18"/>
      <c r="AH50" s="18"/>
      <c r="AI50" s="156">
        <f>IFERROR(IslandModel[[#This Row],[Quantity]]/IslandModel[[#This Row],[Target Quantity]],0)</f>
        <v>0</v>
      </c>
      <c r="AJ50" s="61" t="str">
        <f>IFERROR(INDEX(Production[Resource Produced],MATCH(IslandModel[[#This Row],[Building]],Production[Building],0)),"")</f>
        <v/>
      </c>
      <c r="AK50" s="99">
        <f>IFERROR(IslandModel[[#This Row],[Quantity]]*INDEX(Production[Production in 1h],MATCH(IslandModel[[#This Row],[Building]],Production[Building],0))*IslandModel[[#This Row],[Input Consumption Multiplier]],0)</f>
        <v>0</v>
      </c>
      <c r="AL50" s="115">
        <f>100%</f>
        <v>1</v>
      </c>
      <c r="AM50"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50" s="77" t="str">
        <f>IFERROR(INDEX(Production[Input 1],MATCH(IslandModel[[#This Row],[Building]],Production[Building],0)),"")</f>
        <v/>
      </c>
      <c r="AO50" s="78"/>
      <c r="AP50"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50"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50"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50" s="35" t="str">
        <f>IFERROR(INDEX(Production[Input 2],MATCH(IslandModel[[#This Row],[Building]],Production[Building],0)),"")</f>
        <v/>
      </c>
      <c r="AT50" s="78"/>
      <c r="AU50"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50"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50"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50" s="35" t="str">
        <f>IFERROR(INDEX(Production[Input 3],MATCH(IslandModel[[#This Row],[Building]],Production[Building],0)),"")</f>
        <v/>
      </c>
      <c r="AY50" s="78"/>
      <c r="AZ50"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50"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50"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50" s="35" t="str">
        <f>IFERROR(INDEX(Production[Input 4],MATCH(IslandModel[[#This Row],[Building]],Production[Building],0)),"")</f>
        <v/>
      </c>
      <c r="BD50" s="78"/>
      <c r="BE50"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50"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50"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50" s="35" t="str">
        <f>IFERROR(INDEX(Production[Input 5],MATCH(IslandModel[[#This Row],[Building]],Production[Building],0)),"")</f>
        <v/>
      </c>
      <c r="BI50" s="78"/>
      <c r="BJ50"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50"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50"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50" s="35" t="str">
        <f>IFERROR(INDEX(Production[Input 6],MATCH(IslandModel[[#This Row],[Building]],Production[Building],0)),"")</f>
        <v/>
      </c>
      <c r="BN50" s="78"/>
      <c r="BO50"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50"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50"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50" s="35" t="str">
        <f>IFERROR(INDEX(Production[Input 7],MATCH(IslandModel[[#This Row],[Building]],Production[Building],0)),"")</f>
        <v/>
      </c>
      <c r="BS50" s="78"/>
      <c r="BT50"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50"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50"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50" s="35" t="str">
        <f>IFERROR(INDEX(Production[Input 8],MATCH(IslandModel[[#This Row],[Building]],Production[Building],0)),"")</f>
        <v/>
      </c>
      <c r="BX50" s="78"/>
      <c r="BY50"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50"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50"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50" s="35" t="str">
        <f>IFERROR(INDEX(Production[Input 9],MATCH(IslandModel[[#This Row],[Building]],Production[Building],0)),"")</f>
        <v/>
      </c>
      <c r="CC50" s="78"/>
      <c r="CD50"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50"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50"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50" s="35" t="str">
        <f>IFERROR(INDEX(Production[Input 10],MATCH(IslandModel[[#This Row],[Building]],Production[Building],0)),"")</f>
        <v/>
      </c>
      <c r="CH50" s="78"/>
      <c r="CI50"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50"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50"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50"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50" s="82" t="str">
        <f>IslandModel[[#This Row],[Resource Produced]]</f>
        <v/>
      </c>
      <c r="CN50" s="42">
        <f>IslandModel[[#This Row],[Amount produced/h]]</f>
        <v>0</v>
      </c>
      <c r="CO50" s="42" t="str">
        <f>IslandModel[[#This Row],[Input 1]]</f>
        <v/>
      </c>
      <c r="CP50" s="42">
        <f>-IslandModel[[#This Row],[Input 1 Consumed]]</f>
        <v>0</v>
      </c>
      <c r="CQ50" s="42" t="str">
        <f>IslandModel[[#This Row],[Input 2]]</f>
        <v/>
      </c>
      <c r="CR50" s="42">
        <f>-IslandModel[[#This Row],[Input 2 Consumed]]</f>
        <v>0</v>
      </c>
      <c r="CS50" s="42" t="str">
        <f>IslandModel[[#This Row],[Input 3]]</f>
        <v/>
      </c>
      <c r="CT50" s="42">
        <f>-IslandModel[[#This Row],[Input 3 Consumed]]</f>
        <v>0</v>
      </c>
      <c r="CU50" s="42" t="str">
        <f>IslandModel[[#This Row],[Input 4]]</f>
        <v/>
      </c>
      <c r="CV50" s="42">
        <f>-IslandModel[[#This Row],[Input 4 Consumed]]</f>
        <v>0</v>
      </c>
      <c r="CW50" s="42" t="str">
        <f>IslandModel[[#This Row],[Input 5]]</f>
        <v/>
      </c>
      <c r="CX50" s="42">
        <f>-IslandModel[[#This Row],[Input 5 Consumed]]</f>
        <v>0</v>
      </c>
      <c r="CY50" s="42" t="str">
        <f>IslandModel[[#This Row],[Input 6]]</f>
        <v/>
      </c>
      <c r="CZ50" s="42">
        <f>-IslandModel[[#This Row],[Input 6 Consumed]]</f>
        <v>0</v>
      </c>
      <c r="DA50" s="42" t="str">
        <f>IslandModel[[#This Row],[Input 7]]</f>
        <v/>
      </c>
      <c r="DB50" s="42">
        <f>-IslandModel[[#This Row],[Input 7 Consumed]]</f>
        <v>0</v>
      </c>
      <c r="DC50" s="42" t="str">
        <f>IslandModel[[#This Row],[Input 8]]</f>
        <v/>
      </c>
      <c r="DD50" s="42">
        <f>-IslandModel[[#This Row],[Input 8 Consumed]]</f>
        <v>0</v>
      </c>
      <c r="DE50" s="42" t="str">
        <f>IslandModel[[#This Row],[Input 9]]</f>
        <v/>
      </c>
      <c r="DF50" s="42">
        <f>-IslandModel[[#This Row],[Input 9 Consumed]]</f>
        <v>0</v>
      </c>
      <c r="DG50" s="42" t="str">
        <f>IslandModel[[#This Row],[Input 10]]</f>
        <v/>
      </c>
      <c r="DH50" s="42">
        <f>-IslandModel[[#This Row],[Input 10 Consumed]]</f>
        <v>0</v>
      </c>
      <c r="DJ50" s="55" t="s">
        <v>17</v>
      </c>
      <c r="DK50" s="39">
        <f>SUM(SUMIFS(IslandModel[Resource 1 Qty],IslandModel[Resource 1],ResourceAvailable[[#This Row],[Resource]]))</f>
        <v>0</v>
      </c>
      <c r="DL50"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50" s="39">
        <f>ResourceAvailable[[#This Row],[Amount Produced]]-ResourceAvailable[[#This Row],[Amount Consumed]]</f>
        <v>0</v>
      </c>
      <c r="DN50" s="20">
        <f>MAX(0,ResourceAvailable[[#This Row],[Amount Available for Resident Consumption]]-SUMIFS(ConsumptionModel[Resource Demand],ConsumptionModel[Resource],ResourceAvailable[[#This Row],[Resource]]))</f>
        <v>0</v>
      </c>
    </row>
    <row r="51" spans="2:118" ht="21" x14ac:dyDescent="0.65">
      <c r="B51" s="178">
        <f>ROW()</f>
        <v>51</v>
      </c>
      <c r="C51" s="70">
        <f>INDEX(ConsumptionModelInputs[Quantity],MATCH(ConsumptionModel[[#This Row],[Building]],ConsumptionModelInputs[Building],0))</f>
        <v>12</v>
      </c>
      <c r="D51" s="179" t="s">
        <v>58</v>
      </c>
      <c r="E51" s="179" t="s">
        <v>173</v>
      </c>
      <c r="F51" s="64" t="str">
        <f>IF(OR(ISBLANK(ConsumptionModel[[#This Row],[Building]]),ISBLANK(ConsumptionModel[[#This Row],[Resource]]))," - ",INDEX(Consumption[Type],MATCH(ConsumptionModel[[#This Row],[LookupValue]],Consumption[LookupValue],0)))</f>
        <v>Luxury</v>
      </c>
      <c r="G51" s="61" t="str">
        <f>IF(OR(ISBLANK(ConsumptionModel[[#This Row],[Building]]),ISBLANK(ConsumptionModel[[#This Row],[Resource]]))," - ",ConsumptionModel[[#This Row],[Building]]&amp;" - "&amp;ConsumptionModel[[#This Row],[Resource]])</f>
        <v>Merchant's Mansion - Gold Jewelry</v>
      </c>
      <c r="H51" s="62">
        <f>ConsumptionModel[[#This Row],[Quantity]]*INDEX(Consumption[Consumption/person/h],MATCH(ConsumptionModel[[#This Row],[LookupValue]],Consumption[LookupValue],0))*IFERROR(INDEX(ResidentBuildings[Residents],MATCH(ConsumptionModel[[#This Row],[Building]],ResidentBuildings[Building],0)),0)</f>
        <v>27</v>
      </c>
      <c r="I51"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51" s="65">
        <f>IF(ConsumptionModel[[#This Row],[Quantity]]=0,"",IF(AND(ConsumptionModel[[#This Row],[Resource Demand]]=0,ConsumptionModel[[#This Row],[Resource Available]]&gt;0),1,MIN(1,IFERROR(ConsumptionModel[[#This Row],[Resource Available]]/ConsumptionModel[[#This Row],[Resource Demand]],0))))</f>
        <v>0</v>
      </c>
      <c r="K51"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51" s="197"/>
      <c r="P51" s="71">
        <f>SUMIFS(ResourceAvailable[Amount Produced],ResourceAvailable[Resource],ResourceMonitor[[#This Row],[Resource]])</f>
        <v>0</v>
      </c>
      <c r="Q51" s="71">
        <f>SUMIFS(ResourceAvailable[Amount Consumed],ResourceAvailable[Resource],ResourceMonitor[[#This Row],[Resource]])</f>
        <v>0</v>
      </c>
      <c r="R51" s="71">
        <f>SUMIFS(ResourceAvailable[Amount Available for Resident Consumption],ResourceAvailable[Resource],ResourceMonitor[[#This Row],[Resource]])</f>
        <v>0</v>
      </c>
      <c r="S51" s="39">
        <f>MAX(0,ResourceMonitor[[#This Row],[Amount Available for Resident Consumption]]-SUMIFS(ConsumptionModel[Resource Demand],ConsumptionModel[Resource],ResourceMonitor[[#This Row],[Resource]]))</f>
        <v>0</v>
      </c>
      <c r="T51" s="39">
        <f>MIN(0,ResourceMonitor[[#This Row],[Amount Available for Resident Consumption]]-SUMIFS(ConsumptionModel[Resource Demand],ConsumptionModel[Resource],ResourceMonitor[[#This Row],[Resource]]))</f>
        <v>0</v>
      </c>
      <c r="U51" s="122">
        <f>IFERROR(INDEX(#REF!,MATCH(ResourceMonitor[[#This Row],[Resource]],#REF!,0)),0)</f>
        <v>0</v>
      </c>
      <c r="V51" s="194">
        <f>IFERROR(ResourceMonitor[[#This Row],[Amount Produced]]/ResourceMonitor[[#This Row],[Production Target]],0)</f>
        <v>0</v>
      </c>
      <c r="W51" s="133"/>
      <c r="X51" s="47">
        <f>IF(ResourceMonitor[[#This Row],[Ignore shipping needs?]]="Yes",0,ROUNDUP(ResourceMonitor[[#This Row],[Production Target]]/INDEX(ShipRequirementCalculator[Cargo capacity/h (return, 50% empty)],MATCH($X$15,ShipRequirementCalculator[Ship],0)),0))</f>
        <v>0</v>
      </c>
      <c r="Y51" s="47">
        <f>IF(ResourceMonitor[[#This Row],[Ignore shipping needs?]]="Yes",0,ROUNDUP(ResourceMonitor[[#This Row],[Production Target]]/INDEX(ShipRequirementCalculator[Cargo capacity/h (return, 50% empty)],MATCH($Y$15,ShipRequirementCalculator[Ship],0)),0))</f>
        <v>0</v>
      </c>
      <c r="Z51" s="47">
        <f>IF(ResourceMonitor[[#This Row],[Ignore shipping needs?]]="Yes",0,ROUNDUP(ResourceMonitor[[#This Row],[Production Target]]/INDEX(ShipRequirementCalculator[Cargo capacity/h (return, 50% empty)],MATCH($Z$15,ShipRequirementCalculator[Ship],0)),0))</f>
        <v>0</v>
      </c>
      <c r="AA51" s="124"/>
      <c r="AD51" s="83">
        <f>ROW()</f>
        <v>51</v>
      </c>
      <c r="AE51" s="106"/>
      <c r="AF51" s="72"/>
      <c r="AG51" s="18"/>
      <c r="AH51" s="18"/>
      <c r="AI51" s="156">
        <f>IFERROR(IslandModel[[#This Row],[Quantity]]/IslandModel[[#This Row],[Target Quantity]],0)</f>
        <v>0</v>
      </c>
      <c r="AJ51" s="61" t="str">
        <f>IFERROR(INDEX(Production[Resource Produced],MATCH(IslandModel[[#This Row],[Building]],Production[Building],0)),"")</f>
        <v/>
      </c>
      <c r="AK51" s="99">
        <f>IFERROR(IslandModel[[#This Row],[Quantity]]*INDEX(Production[Production in 1h],MATCH(IslandModel[[#This Row],[Building]],Production[Building],0))*IslandModel[[#This Row],[Input Consumption Multiplier]],0)</f>
        <v>0</v>
      </c>
      <c r="AL51" s="115">
        <f>100%</f>
        <v>1</v>
      </c>
      <c r="AM51"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51" s="77" t="str">
        <f>IFERROR(INDEX(Production[Input 1],MATCH(IslandModel[[#This Row],[Building]],Production[Building],0)),"")</f>
        <v/>
      </c>
      <c r="AO51" s="78"/>
      <c r="AP51"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51"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51"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51" s="35" t="str">
        <f>IFERROR(INDEX(Production[Input 2],MATCH(IslandModel[[#This Row],[Building]],Production[Building],0)),"")</f>
        <v/>
      </c>
      <c r="AT51" s="78"/>
      <c r="AU51"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51"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51"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51" s="35" t="str">
        <f>IFERROR(INDEX(Production[Input 3],MATCH(IslandModel[[#This Row],[Building]],Production[Building],0)),"")</f>
        <v/>
      </c>
      <c r="AY51" s="78"/>
      <c r="AZ51"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51"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51"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51" s="35" t="str">
        <f>IFERROR(INDEX(Production[Input 4],MATCH(IslandModel[[#This Row],[Building]],Production[Building],0)),"")</f>
        <v/>
      </c>
      <c r="BD51" s="78"/>
      <c r="BE51"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51"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51"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51" s="35" t="str">
        <f>IFERROR(INDEX(Production[Input 5],MATCH(IslandModel[[#This Row],[Building]],Production[Building],0)),"")</f>
        <v/>
      </c>
      <c r="BI51" s="78"/>
      <c r="BJ51"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51"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51"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51" s="35" t="str">
        <f>IFERROR(INDEX(Production[Input 6],MATCH(IslandModel[[#This Row],[Building]],Production[Building],0)),"")</f>
        <v/>
      </c>
      <c r="BN51" s="78"/>
      <c r="BO51"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51"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51"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51" s="35" t="str">
        <f>IFERROR(INDEX(Production[Input 7],MATCH(IslandModel[[#This Row],[Building]],Production[Building],0)),"")</f>
        <v/>
      </c>
      <c r="BS51" s="78"/>
      <c r="BT51"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51"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51"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51" s="35" t="str">
        <f>IFERROR(INDEX(Production[Input 8],MATCH(IslandModel[[#This Row],[Building]],Production[Building],0)),"")</f>
        <v/>
      </c>
      <c r="BX51" s="78"/>
      <c r="BY51"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51"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51"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51" s="35" t="str">
        <f>IFERROR(INDEX(Production[Input 9],MATCH(IslandModel[[#This Row],[Building]],Production[Building],0)),"")</f>
        <v/>
      </c>
      <c r="CC51" s="78"/>
      <c r="CD51"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51"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51"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51" s="35" t="str">
        <f>IFERROR(INDEX(Production[Input 10],MATCH(IslandModel[[#This Row],[Building]],Production[Building],0)),"")</f>
        <v/>
      </c>
      <c r="CH51" s="78"/>
      <c r="CI51"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51"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51"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51"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51" s="82" t="str">
        <f>IslandModel[[#This Row],[Resource Produced]]</f>
        <v/>
      </c>
      <c r="CN51" s="42">
        <f>IslandModel[[#This Row],[Amount produced/h]]</f>
        <v>0</v>
      </c>
      <c r="CO51" s="42" t="str">
        <f>IslandModel[[#This Row],[Input 1]]</f>
        <v/>
      </c>
      <c r="CP51" s="42">
        <f>-IslandModel[[#This Row],[Input 1 Consumed]]</f>
        <v>0</v>
      </c>
      <c r="CQ51" s="42" t="str">
        <f>IslandModel[[#This Row],[Input 2]]</f>
        <v/>
      </c>
      <c r="CR51" s="42">
        <f>-IslandModel[[#This Row],[Input 2 Consumed]]</f>
        <v>0</v>
      </c>
      <c r="CS51" s="42" t="str">
        <f>IslandModel[[#This Row],[Input 3]]</f>
        <v/>
      </c>
      <c r="CT51" s="42">
        <f>-IslandModel[[#This Row],[Input 3 Consumed]]</f>
        <v>0</v>
      </c>
      <c r="CU51" s="42" t="str">
        <f>IslandModel[[#This Row],[Input 4]]</f>
        <v/>
      </c>
      <c r="CV51" s="42">
        <f>-IslandModel[[#This Row],[Input 4 Consumed]]</f>
        <v>0</v>
      </c>
      <c r="CW51" s="42" t="str">
        <f>IslandModel[[#This Row],[Input 5]]</f>
        <v/>
      </c>
      <c r="CX51" s="42">
        <f>-IslandModel[[#This Row],[Input 5 Consumed]]</f>
        <v>0</v>
      </c>
      <c r="CY51" s="42" t="str">
        <f>IslandModel[[#This Row],[Input 6]]</f>
        <v/>
      </c>
      <c r="CZ51" s="42">
        <f>-IslandModel[[#This Row],[Input 6 Consumed]]</f>
        <v>0</v>
      </c>
      <c r="DA51" s="42" t="str">
        <f>IslandModel[[#This Row],[Input 7]]</f>
        <v/>
      </c>
      <c r="DB51" s="42">
        <f>-IslandModel[[#This Row],[Input 7 Consumed]]</f>
        <v>0</v>
      </c>
      <c r="DC51" s="42" t="str">
        <f>IslandModel[[#This Row],[Input 8]]</f>
        <v/>
      </c>
      <c r="DD51" s="42">
        <f>-IslandModel[[#This Row],[Input 8 Consumed]]</f>
        <v>0</v>
      </c>
      <c r="DE51" s="42" t="str">
        <f>IslandModel[[#This Row],[Input 9]]</f>
        <v/>
      </c>
      <c r="DF51" s="42">
        <f>-IslandModel[[#This Row],[Input 9 Consumed]]</f>
        <v>0</v>
      </c>
      <c r="DG51" s="42" t="str">
        <f>IslandModel[[#This Row],[Input 10]]</f>
        <v/>
      </c>
      <c r="DH51" s="42">
        <f>-IslandModel[[#This Row],[Input 10 Consumed]]</f>
        <v>0</v>
      </c>
      <c r="DJ51" t="s">
        <v>371</v>
      </c>
      <c r="DK51" s="39">
        <f>SUM(SUMIFS(IslandModel[Resource 1 Qty],IslandModel[Resource 1],ResourceAvailable[[#This Row],[Resource]]))</f>
        <v>0</v>
      </c>
      <c r="DL51"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51" s="39">
        <f>ResourceAvailable[[#This Row],[Amount Produced]]-ResourceAvailable[[#This Row],[Amount Consumed]]</f>
        <v>0</v>
      </c>
      <c r="DN51" s="58">
        <f>MAX(0,ResourceAvailable[[#This Row],[Amount Available for Resident Consumption]]-SUMIFS(ConsumptionModel[Resource Demand],ConsumptionModel[Resource],ResourceAvailable[[#This Row],[Resource]]))</f>
        <v>0</v>
      </c>
    </row>
    <row r="52" spans="2:118" ht="21" x14ac:dyDescent="0.65">
      <c r="B52" s="178">
        <f>ROW()</f>
        <v>52</v>
      </c>
      <c r="C52" s="70">
        <f>INDEX(ConsumptionModelInputs[Quantity],MATCH(ConsumptionModel[[#This Row],[Building]],ConsumptionModelInputs[Building],0))</f>
        <v>12</v>
      </c>
      <c r="D52" s="179" t="s">
        <v>58</v>
      </c>
      <c r="E52" s="179" t="s">
        <v>152</v>
      </c>
      <c r="F52" s="64" t="str">
        <f>IF(OR(ISBLANK(ConsumptionModel[[#This Row],[Building]]),ISBLANK(ConsumptionModel[[#This Row],[Resource]]))," - ",INDEX(Consumption[Type],MATCH(ConsumptionModel[[#This Row],[LookupValue]],Consumption[LookupValue],0)))</f>
        <v>Luxury</v>
      </c>
      <c r="G52" s="61" t="str">
        <f>IF(OR(ISBLANK(ConsumptionModel[[#This Row],[Building]]),ISBLANK(ConsumptionModel[[#This Row],[Resource]]))," - ",ConsumptionModel[[#This Row],[Building]]&amp;" - "&amp;ConsumptionModel[[#This Row],[Resource]])</f>
        <v>Merchant's Mansion - Medical Care</v>
      </c>
      <c r="H52" s="62">
        <f>ConsumptionModel[[#This Row],[Quantity]]*INDEX(Consumption[Consumption/person/h],MATCH(ConsumptionModel[[#This Row],[LookupValue]],Consumption[LookupValue],0))*IFERROR(INDEX(ResidentBuildings[Residents],MATCH(ConsumptionModel[[#This Row],[Building]],ResidentBuildings[Building],0)),0)</f>
        <v>0</v>
      </c>
      <c r="I52"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52" s="65">
        <f>IF(ConsumptionModel[[#This Row],[Quantity]]=0,"",IF(AND(ConsumptionModel[[#This Row],[Resource Demand]]=0,ConsumptionModel[[#This Row],[Resource Available]]&gt;0),1,MIN(1,IFERROR(ConsumptionModel[[#This Row],[Resource Available]]/ConsumptionModel[[#This Row],[Resource Demand]],0))))</f>
        <v>0</v>
      </c>
      <c r="K52"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52" s="197"/>
      <c r="P52" s="71">
        <f>SUMIFS(ResourceAvailable[Amount Produced],ResourceAvailable[Resource],ResourceMonitor[[#This Row],[Resource]])</f>
        <v>0</v>
      </c>
      <c r="Q52" s="71">
        <f>SUMIFS(ResourceAvailable[Amount Consumed],ResourceAvailable[Resource],ResourceMonitor[[#This Row],[Resource]])</f>
        <v>0</v>
      </c>
      <c r="R52" s="71">
        <f>SUMIFS(ResourceAvailable[Amount Available for Resident Consumption],ResourceAvailable[Resource],ResourceMonitor[[#This Row],[Resource]])</f>
        <v>0</v>
      </c>
      <c r="S52" s="39">
        <f>MAX(0,ResourceMonitor[[#This Row],[Amount Available for Resident Consumption]]-SUMIFS(ConsumptionModel[Resource Demand],ConsumptionModel[Resource],ResourceMonitor[[#This Row],[Resource]]))</f>
        <v>0</v>
      </c>
      <c r="T52" s="39">
        <f>MIN(0,ResourceMonitor[[#This Row],[Amount Available for Resident Consumption]]-SUMIFS(ConsumptionModel[Resource Demand],ConsumptionModel[Resource],ResourceMonitor[[#This Row],[Resource]]))</f>
        <v>0</v>
      </c>
      <c r="U52" s="122">
        <f>IFERROR(INDEX(#REF!,MATCH(ResourceMonitor[[#This Row],[Resource]],#REF!,0)),0)</f>
        <v>0</v>
      </c>
      <c r="V52" s="194">
        <f>IFERROR(ResourceMonitor[[#This Row],[Amount Produced]]/ResourceMonitor[[#This Row],[Production Target]],0)</f>
        <v>0</v>
      </c>
      <c r="W52" s="133"/>
      <c r="X52" s="47">
        <f>IF(ResourceMonitor[[#This Row],[Ignore shipping needs?]]="Yes",0,ROUNDUP(ResourceMonitor[[#This Row],[Production Target]]/INDEX(ShipRequirementCalculator[Cargo capacity/h (return, 50% empty)],MATCH($X$15,ShipRequirementCalculator[Ship],0)),0))</f>
        <v>0</v>
      </c>
      <c r="Y52" s="47">
        <f>IF(ResourceMonitor[[#This Row],[Ignore shipping needs?]]="Yes",0,ROUNDUP(ResourceMonitor[[#This Row],[Production Target]]/INDEX(ShipRequirementCalculator[Cargo capacity/h (return, 50% empty)],MATCH($Y$15,ShipRequirementCalculator[Ship],0)),0))</f>
        <v>0</v>
      </c>
      <c r="Z52" s="47">
        <f>IF(ResourceMonitor[[#This Row],[Ignore shipping needs?]]="Yes",0,ROUNDUP(ResourceMonitor[[#This Row],[Production Target]]/INDEX(ShipRequirementCalculator[Cargo capacity/h (return, 50% empty)],MATCH($Z$15,ShipRequirementCalculator[Ship],0)),0))</f>
        <v>0</v>
      </c>
      <c r="AA52" s="124"/>
      <c r="AD52" s="83">
        <f>ROW()</f>
        <v>52</v>
      </c>
      <c r="AE52" s="106"/>
      <c r="AF52" s="72"/>
      <c r="AG52" s="18"/>
      <c r="AH52" s="18"/>
      <c r="AI52" s="156">
        <f>IFERROR(IslandModel[[#This Row],[Quantity]]/IslandModel[[#This Row],[Target Quantity]],0)</f>
        <v>0</v>
      </c>
      <c r="AJ52" s="61" t="str">
        <f>IFERROR(INDEX(Production[Resource Produced],MATCH(IslandModel[[#This Row],[Building]],Production[Building],0)),"")</f>
        <v/>
      </c>
      <c r="AK52" s="99">
        <f>IFERROR(IslandModel[[#This Row],[Quantity]]*INDEX(Production[Production in 1h],MATCH(IslandModel[[#This Row],[Building]],Production[Building],0))*IslandModel[[#This Row],[Input Consumption Multiplier]],0)</f>
        <v>0</v>
      </c>
      <c r="AL52" s="115">
        <f>100%</f>
        <v>1</v>
      </c>
      <c r="AM52"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52" s="77" t="str">
        <f>IFERROR(INDEX(Production[Input 1],MATCH(IslandModel[[#This Row],[Building]],Production[Building],0)),"")</f>
        <v/>
      </c>
      <c r="AO52" s="78"/>
      <c r="AP52"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52"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52"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52" s="35" t="str">
        <f>IFERROR(INDEX(Production[Input 2],MATCH(IslandModel[[#This Row],[Building]],Production[Building],0)),"")</f>
        <v/>
      </c>
      <c r="AT52" s="78"/>
      <c r="AU52"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52"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52"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52" s="35" t="str">
        <f>IFERROR(INDEX(Production[Input 3],MATCH(IslandModel[[#This Row],[Building]],Production[Building],0)),"")</f>
        <v/>
      </c>
      <c r="AY52" s="78"/>
      <c r="AZ52"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52"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52"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52" s="35" t="str">
        <f>IFERROR(INDEX(Production[Input 4],MATCH(IslandModel[[#This Row],[Building]],Production[Building],0)),"")</f>
        <v/>
      </c>
      <c r="BD52" s="78"/>
      <c r="BE52"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52"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52"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52" s="35" t="str">
        <f>IFERROR(INDEX(Production[Input 5],MATCH(IslandModel[[#This Row],[Building]],Production[Building],0)),"")</f>
        <v/>
      </c>
      <c r="BI52" s="78"/>
      <c r="BJ52"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52"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52"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52" s="35" t="str">
        <f>IFERROR(INDEX(Production[Input 6],MATCH(IslandModel[[#This Row],[Building]],Production[Building],0)),"")</f>
        <v/>
      </c>
      <c r="BN52" s="78"/>
      <c r="BO52"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52"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52"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52" s="35" t="str">
        <f>IFERROR(INDEX(Production[Input 7],MATCH(IslandModel[[#This Row],[Building]],Production[Building],0)),"")</f>
        <v/>
      </c>
      <c r="BS52" s="78"/>
      <c r="BT52"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52"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52"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52" s="35" t="str">
        <f>IFERROR(INDEX(Production[Input 8],MATCH(IslandModel[[#This Row],[Building]],Production[Building],0)),"")</f>
        <v/>
      </c>
      <c r="BX52" s="78"/>
      <c r="BY52"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52"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52"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52" s="35" t="str">
        <f>IFERROR(INDEX(Production[Input 9],MATCH(IslandModel[[#This Row],[Building]],Production[Building],0)),"")</f>
        <v/>
      </c>
      <c r="CC52" s="78"/>
      <c r="CD52"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52"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52"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52" s="35" t="str">
        <f>IFERROR(INDEX(Production[Input 10],MATCH(IslandModel[[#This Row],[Building]],Production[Building],0)),"")</f>
        <v/>
      </c>
      <c r="CH52" s="78"/>
      <c r="CI52"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52"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52"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52"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52" s="82" t="str">
        <f>IslandModel[[#This Row],[Resource Produced]]</f>
        <v/>
      </c>
      <c r="CN52" s="42">
        <f>IslandModel[[#This Row],[Amount produced/h]]</f>
        <v>0</v>
      </c>
      <c r="CO52" s="42" t="str">
        <f>IslandModel[[#This Row],[Input 1]]</f>
        <v/>
      </c>
      <c r="CP52" s="42">
        <f>-IslandModel[[#This Row],[Input 1 Consumed]]</f>
        <v>0</v>
      </c>
      <c r="CQ52" s="42" t="str">
        <f>IslandModel[[#This Row],[Input 2]]</f>
        <v/>
      </c>
      <c r="CR52" s="42">
        <f>-IslandModel[[#This Row],[Input 2 Consumed]]</f>
        <v>0</v>
      </c>
      <c r="CS52" s="42" t="str">
        <f>IslandModel[[#This Row],[Input 3]]</f>
        <v/>
      </c>
      <c r="CT52" s="42">
        <f>-IslandModel[[#This Row],[Input 3 Consumed]]</f>
        <v>0</v>
      </c>
      <c r="CU52" s="42" t="str">
        <f>IslandModel[[#This Row],[Input 4]]</f>
        <v/>
      </c>
      <c r="CV52" s="42">
        <f>-IslandModel[[#This Row],[Input 4 Consumed]]</f>
        <v>0</v>
      </c>
      <c r="CW52" s="42" t="str">
        <f>IslandModel[[#This Row],[Input 5]]</f>
        <v/>
      </c>
      <c r="CX52" s="42">
        <f>-IslandModel[[#This Row],[Input 5 Consumed]]</f>
        <v>0</v>
      </c>
      <c r="CY52" s="42" t="str">
        <f>IslandModel[[#This Row],[Input 6]]</f>
        <v/>
      </c>
      <c r="CZ52" s="42">
        <f>-IslandModel[[#This Row],[Input 6 Consumed]]</f>
        <v>0</v>
      </c>
      <c r="DA52" s="42" t="str">
        <f>IslandModel[[#This Row],[Input 7]]</f>
        <v/>
      </c>
      <c r="DB52" s="42">
        <f>-IslandModel[[#This Row],[Input 7 Consumed]]</f>
        <v>0</v>
      </c>
      <c r="DC52" s="42" t="str">
        <f>IslandModel[[#This Row],[Input 8]]</f>
        <v/>
      </c>
      <c r="DD52" s="42">
        <f>-IslandModel[[#This Row],[Input 8 Consumed]]</f>
        <v>0</v>
      </c>
      <c r="DE52" s="42" t="str">
        <f>IslandModel[[#This Row],[Input 9]]</f>
        <v/>
      </c>
      <c r="DF52" s="42">
        <f>-IslandModel[[#This Row],[Input 9 Consumed]]</f>
        <v>0</v>
      </c>
      <c r="DG52" s="42" t="str">
        <f>IslandModel[[#This Row],[Input 10]]</f>
        <v/>
      </c>
      <c r="DH52" s="42">
        <f>-IslandModel[[#This Row],[Input 10 Consumed]]</f>
        <v>0</v>
      </c>
      <c r="DJ52" s="55" t="s">
        <v>332</v>
      </c>
      <c r="DK52" s="39">
        <f>SUM(SUMIFS(IslandModel[Resource 1 Qty],IslandModel[Resource 1],ResourceAvailable[[#This Row],[Resource]]))</f>
        <v>0</v>
      </c>
      <c r="DL52"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52" s="39">
        <f>ResourceAvailable[[#This Row],[Amount Produced]]-ResourceAvailable[[#This Row],[Amount Consumed]]</f>
        <v>0</v>
      </c>
      <c r="DN52" s="58">
        <f>MAX(0,ResourceAvailable[[#This Row],[Amount Available for Resident Consumption]]-SUMIFS(ConsumptionModel[Resource Demand],ConsumptionModel[Resource],ResourceAvailable[[#This Row],[Resource]]))</f>
        <v>0</v>
      </c>
    </row>
    <row r="53" spans="2:118" ht="21.4" thickBot="1" x14ac:dyDescent="0.7">
      <c r="B53" s="181">
        <f>ROW()</f>
        <v>53</v>
      </c>
      <c r="C53" s="182">
        <f>INDEX(ConsumptionModelInputs[Quantity],MATCH(ConsumptionModel[[#This Row],[Building]],ConsumptionModelInputs[Building],0))</f>
        <v>12</v>
      </c>
      <c r="D53" s="183" t="s">
        <v>58</v>
      </c>
      <c r="E53" s="183" t="s">
        <v>337</v>
      </c>
      <c r="F53" s="184" t="str">
        <f>IF(OR(ISBLANK(ConsumptionModel[[#This Row],[Building]]),ISBLANK(ConsumptionModel[[#This Row],[Resource]]))," - ",INDEX(Consumption[Type],MATCH(ConsumptionModel[[#This Row],[LookupValue]],Consumption[LookupValue],0)))</f>
        <v>Luxury</v>
      </c>
      <c r="G53" s="185" t="str">
        <f>IF(OR(ISBLANK(ConsumptionModel[[#This Row],[Building]]),ISBLANK(ConsumptionModel[[#This Row],[Resource]]))," - ",ConsumptionModel[[#This Row],[Building]]&amp;" - "&amp;ConsumptionModel[[#This Row],[Resource]])</f>
        <v>Merchant's Mansion - Hygiene</v>
      </c>
      <c r="H53" s="186">
        <f>ConsumptionModel[[#This Row],[Quantity]]*INDEX(Consumption[Consumption/person/h],MATCH(ConsumptionModel[[#This Row],[LookupValue]],Consumption[LookupValue],0))*IFERROR(INDEX(ResidentBuildings[Residents],MATCH(ConsumptionModel[[#This Row],[Building]],ResidentBuildings[Building],0)),0)</f>
        <v>0</v>
      </c>
      <c r="I53" s="186">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53" s="187">
        <f>IF(ConsumptionModel[[#This Row],[Quantity]]=0,"",IF(AND(ConsumptionModel[[#This Row],[Resource Demand]]=0,ConsumptionModel[[#This Row],[Resource Available]]&gt;0),1,MIN(1,IFERROR(ConsumptionModel[[#This Row],[Resource Available]]/ConsumptionModel[[#This Row],[Resource Demand]],0))))</f>
        <v>0</v>
      </c>
      <c r="K53" s="188">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53" s="197"/>
      <c r="P53" s="71">
        <f>SUMIFS(ResourceAvailable[Amount Produced],ResourceAvailable[Resource],ResourceMonitor[[#This Row],[Resource]])</f>
        <v>0</v>
      </c>
      <c r="Q53" s="71">
        <f>SUMIFS(ResourceAvailable[Amount Consumed],ResourceAvailable[Resource],ResourceMonitor[[#This Row],[Resource]])</f>
        <v>0</v>
      </c>
      <c r="R53" s="71">
        <f>SUMIFS(ResourceAvailable[Amount Available for Resident Consumption],ResourceAvailable[Resource],ResourceMonitor[[#This Row],[Resource]])</f>
        <v>0</v>
      </c>
      <c r="S53" s="39">
        <f>MAX(0,ResourceMonitor[[#This Row],[Amount Available for Resident Consumption]]-SUMIFS(ConsumptionModel[Resource Demand],ConsumptionModel[Resource],ResourceMonitor[[#This Row],[Resource]]))</f>
        <v>0</v>
      </c>
      <c r="T53" s="39">
        <f>MIN(0,ResourceMonitor[[#This Row],[Amount Available for Resident Consumption]]-SUMIFS(ConsumptionModel[Resource Demand],ConsumptionModel[Resource],ResourceMonitor[[#This Row],[Resource]]))</f>
        <v>0</v>
      </c>
      <c r="U53" s="122">
        <f>IFERROR(INDEX(#REF!,MATCH(ResourceMonitor[[#This Row],[Resource]],#REF!,0)),0)</f>
        <v>0</v>
      </c>
      <c r="V53" s="194">
        <f>IFERROR(ResourceMonitor[[#This Row],[Amount Produced]]/ResourceMonitor[[#This Row],[Production Target]],0)</f>
        <v>0</v>
      </c>
      <c r="W53" s="133"/>
      <c r="X53" s="47">
        <f>IF(ResourceMonitor[[#This Row],[Ignore shipping needs?]]="Yes",0,ROUNDUP(ResourceMonitor[[#This Row],[Production Target]]/INDEX(ShipRequirementCalculator[Cargo capacity/h (return, 50% empty)],MATCH($X$15,ShipRequirementCalculator[Ship],0)),0))</f>
        <v>0</v>
      </c>
      <c r="Y53" s="47">
        <f>IF(ResourceMonitor[[#This Row],[Ignore shipping needs?]]="Yes",0,ROUNDUP(ResourceMonitor[[#This Row],[Production Target]]/INDEX(ShipRequirementCalculator[Cargo capacity/h (return, 50% empty)],MATCH($Y$15,ShipRequirementCalculator[Ship],0)),0))</f>
        <v>0</v>
      </c>
      <c r="Z53" s="47">
        <f>IF(ResourceMonitor[[#This Row],[Ignore shipping needs?]]="Yes",0,ROUNDUP(ResourceMonitor[[#This Row],[Production Target]]/INDEX(ShipRequirementCalculator[Cargo capacity/h (return, 50% empty)],MATCH($Z$15,ShipRequirementCalculator[Ship],0)),0))</f>
        <v>0</v>
      </c>
      <c r="AA53" s="124"/>
      <c r="AD53" s="83">
        <f>ROW()</f>
        <v>53</v>
      </c>
      <c r="AE53" s="106"/>
      <c r="AF53" s="72"/>
      <c r="AG53" s="18"/>
      <c r="AH53" s="18"/>
      <c r="AI53" s="156">
        <f>IFERROR(IslandModel[[#This Row],[Quantity]]/IslandModel[[#This Row],[Target Quantity]],0)</f>
        <v>0</v>
      </c>
      <c r="AJ53" s="61" t="str">
        <f>IFERROR(INDEX(Production[Resource Produced],MATCH(IslandModel[[#This Row],[Building]],Production[Building],0)),"")</f>
        <v/>
      </c>
      <c r="AK53" s="99">
        <f>IFERROR(IslandModel[[#This Row],[Quantity]]*INDEX(Production[Production in 1h],MATCH(IslandModel[[#This Row],[Building]],Production[Building],0))*IslandModel[[#This Row],[Input Consumption Multiplier]],0)</f>
        <v>0</v>
      </c>
      <c r="AL53" s="115">
        <f>100%</f>
        <v>1</v>
      </c>
      <c r="AM53"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53" s="77" t="str">
        <f>IFERROR(INDEX(Production[Input 1],MATCH(IslandModel[[#This Row],[Building]],Production[Building],0)),"")</f>
        <v/>
      </c>
      <c r="AO53" s="78"/>
      <c r="AP53"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53"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53"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53" s="35" t="str">
        <f>IFERROR(INDEX(Production[Input 2],MATCH(IslandModel[[#This Row],[Building]],Production[Building],0)),"")</f>
        <v/>
      </c>
      <c r="AT53" s="78"/>
      <c r="AU53"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53"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53"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53" s="35" t="str">
        <f>IFERROR(INDEX(Production[Input 3],MATCH(IslandModel[[#This Row],[Building]],Production[Building],0)),"")</f>
        <v/>
      </c>
      <c r="AY53" s="78"/>
      <c r="AZ53"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53"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53"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53" s="35" t="str">
        <f>IFERROR(INDEX(Production[Input 4],MATCH(IslandModel[[#This Row],[Building]],Production[Building],0)),"")</f>
        <v/>
      </c>
      <c r="BD53" s="78"/>
      <c r="BE53"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53"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53"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53" s="35" t="str">
        <f>IFERROR(INDEX(Production[Input 5],MATCH(IslandModel[[#This Row],[Building]],Production[Building],0)),"")</f>
        <v/>
      </c>
      <c r="BI53" s="78"/>
      <c r="BJ53"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53"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53"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53" s="35" t="str">
        <f>IFERROR(INDEX(Production[Input 6],MATCH(IslandModel[[#This Row],[Building]],Production[Building],0)),"")</f>
        <v/>
      </c>
      <c r="BN53" s="78"/>
      <c r="BO53"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53"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53"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53" s="35" t="str">
        <f>IFERROR(INDEX(Production[Input 7],MATCH(IslandModel[[#This Row],[Building]],Production[Building],0)),"")</f>
        <v/>
      </c>
      <c r="BS53" s="78"/>
      <c r="BT53"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53"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53"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53" s="35" t="str">
        <f>IFERROR(INDEX(Production[Input 8],MATCH(IslandModel[[#This Row],[Building]],Production[Building],0)),"")</f>
        <v/>
      </c>
      <c r="BX53" s="78"/>
      <c r="BY53"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53"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53"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53" s="35" t="str">
        <f>IFERROR(INDEX(Production[Input 9],MATCH(IslandModel[[#This Row],[Building]],Production[Building],0)),"")</f>
        <v/>
      </c>
      <c r="CC53" s="78"/>
      <c r="CD53"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53"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53"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53" s="35" t="str">
        <f>IFERROR(INDEX(Production[Input 10],MATCH(IslandModel[[#This Row],[Building]],Production[Building],0)),"")</f>
        <v/>
      </c>
      <c r="CH53" s="78"/>
      <c r="CI53"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53"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53"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53"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53" s="82" t="str">
        <f>IslandModel[[#This Row],[Resource Produced]]</f>
        <v/>
      </c>
      <c r="CN53" s="42">
        <f>IslandModel[[#This Row],[Amount produced/h]]</f>
        <v>0</v>
      </c>
      <c r="CO53" s="42" t="str">
        <f>IslandModel[[#This Row],[Input 1]]</f>
        <v/>
      </c>
      <c r="CP53" s="42">
        <f>-IslandModel[[#This Row],[Input 1 Consumed]]</f>
        <v>0</v>
      </c>
      <c r="CQ53" s="42" t="str">
        <f>IslandModel[[#This Row],[Input 2]]</f>
        <v/>
      </c>
      <c r="CR53" s="42">
        <f>-IslandModel[[#This Row],[Input 2 Consumed]]</f>
        <v>0</v>
      </c>
      <c r="CS53" s="42" t="str">
        <f>IslandModel[[#This Row],[Input 3]]</f>
        <v/>
      </c>
      <c r="CT53" s="42">
        <f>-IslandModel[[#This Row],[Input 3 Consumed]]</f>
        <v>0</v>
      </c>
      <c r="CU53" s="42" t="str">
        <f>IslandModel[[#This Row],[Input 4]]</f>
        <v/>
      </c>
      <c r="CV53" s="42">
        <f>-IslandModel[[#This Row],[Input 4 Consumed]]</f>
        <v>0</v>
      </c>
      <c r="CW53" s="42" t="str">
        <f>IslandModel[[#This Row],[Input 5]]</f>
        <v/>
      </c>
      <c r="CX53" s="42">
        <f>-IslandModel[[#This Row],[Input 5 Consumed]]</f>
        <v>0</v>
      </c>
      <c r="CY53" s="42" t="str">
        <f>IslandModel[[#This Row],[Input 6]]</f>
        <v/>
      </c>
      <c r="CZ53" s="42">
        <f>-IslandModel[[#This Row],[Input 6 Consumed]]</f>
        <v>0</v>
      </c>
      <c r="DA53" s="42" t="str">
        <f>IslandModel[[#This Row],[Input 7]]</f>
        <v/>
      </c>
      <c r="DB53" s="42">
        <f>-IslandModel[[#This Row],[Input 7 Consumed]]</f>
        <v>0</v>
      </c>
      <c r="DC53" s="42" t="str">
        <f>IslandModel[[#This Row],[Input 8]]</f>
        <v/>
      </c>
      <c r="DD53" s="42">
        <f>-IslandModel[[#This Row],[Input 8 Consumed]]</f>
        <v>0</v>
      </c>
      <c r="DE53" s="42" t="str">
        <f>IslandModel[[#This Row],[Input 9]]</f>
        <v/>
      </c>
      <c r="DF53" s="42">
        <f>-IslandModel[[#This Row],[Input 9 Consumed]]</f>
        <v>0</v>
      </c>
      <c r="DG53" s="42" t="str">
        <f>IslandModel[[#This Row],[Input 10]]</f>
        <v/>
      </c>
      <c r="DH53" s="42">
        <f>-IslandModel[[#This Row],[Input 10 Consumed]]</f>
        <v>0</v>
      </c>
      <c r="DJ53" s="55" t="s">
        <v>465</v>
      </c>
      <c r="DK53" s="39">
        <f>SUM(SUMIFS(IslandModel[Resource 1 Qty],IslandModel[Resource 1],ResourceAvailable[[#This Row],[Resource]]))</f>
        <v>0</v>
      </c>
      <c r="DL53"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53" s="39">
        <f>ResourceAvailable[[#This Row],[Amount Produced]]-ResourceAvailable[[#This Row],[Amount Consumed]]</f>
        <v>0</v>
      </c>
      <c r="DN53" s="20">
        <f>MAX(0,ResourceAvailable[[#This Row],[Amount Available for Resident Consumption]]-SUMIFS(ConsumptionModel[Resource Demand],ConsumptionModel[Resource],ResourceAvailable[[#This Row],[Resource]]))</f>
        <v>0</v>
      </c>
    </row>
    <row r="54" spans="2:118" ht="21" x14ac:dyDescent="0.65">
      <c r="B54" s="170">
        <f>ROW()</f>
        <v>54</v>
      </c>
      <c r="C54" s="171">
        <f>INDEX(ConsumptionModelInputs[Quantity],MATCH(ConsumptionModel[[#This Row],[Building]],ConsumptionModelInputs[Building],0))</f>
        <v>34</v>
      </c>
      <c r="D54" s="172" t="s">
        <v>59</v>
      </c>
      <c r="E54" s="172" t="s">
        <v>116</v>
      </c>
      <c r="F54" s="173" t="str">
        <f>IF(OR(ISBLANK(ConsumptionModel[[#This Row],[Building]]),ISBLANK(ConsumptionModel[[#This Row],[Resource]]))," - ",INDEX(Consumption[Type],MATCH(ConsumptionModel[[#This Row],[LookupValue]],Consumption[LookupValue],0)))</f>
        <v>Need</v>
      </c>
      <c r="G54" s="174" t="str">
        <f>IF(OR(ISBLANK(ConsumptionModel[[#This Row],[Building]]),ISBLANK(ConsumptionModel[[#This Row],[Resource]]))," - ",ConsumptionModel[[#This Row],[Building]]&amp;" - "&amp;ConsumptionModel[[#This Row],[Resource]])</f>
        <v>Paragon's Residence - Cigar</v>
      </c>
      <c r="H54" s="175">
        <f>ConsumptionModel[[#This Row],[Quantity]]*INDEX(Consumption[Consumption/person/h],MATCH(ConsumptionModel[[#This Row],[LookupValue]],Consumption[LookupValue],0))*IFERROR(INDEX(ResidentBuildings[Residents],MATCH(ConsumptionModel[[#This Row],[Building]],ResidentBuildings[Building],0)),0)</f>
        <v>153</v>
      </c>
      <c r="I54" s="175">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54" s="176">
        <f>IF(ConsumptionModel[[#This Row],[Quantity]]=0,"",IF(AND(ConsumptionModel[[#This Row],[Resource Demand]]=0,ConsumptionModel[[#This Row],[Resource Available]]&gt;0),1,MIN(1,IFERROR(ConsumptionModel[[#This Row],[Resource Available]]/ConsumptionModel[[#This Row],[Resource Demand]],0))))</f>
        <v>0</v>
      </c>
      <c r="K54" s="177">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54" s="197"/>
      <c r="P54" s="71">
        <f>SUMIFS(ResourceAvailable[Amount Produced],ResourceAvailable[Resource],ResourceMonitor[[#This Row],[Resource]])</f>
        <v>0</v>
      </c>
      <c r="Q54" s="71">
        <f>SUMIFS(ResourceAvailable[Amount Consumed],ResourceAvailable[Resource],ResourceMonitor[[#This Row],[Resource]])</f>
        <v>0</v>
      </c>
      <c r="R54" s="71">
        <f>SUMIFS(ResourceAvailable[Amount Available for Resident Consumption],ResourceAvailable[Resource],ResourceMonitor[[#This Row],[Resource]])</f>
        <v>0</v>
      </c>
      <c r="S54" s="39">
        <f>MAX(0,ResourceMonitor[[#This Row],[Amount Available for Resident Consumption]]-SUMIFS(ConsumptionModel[Resource Demand],ConsumptionModel[Resource],ResourceMonitor[[#This Row],[Resource]]))</f>
        <v>0</v>
      </c>
      <c r="T54" s="39">
        <f>MIN(0,ResourceMonitor[[#This Row],[Amount Available for Resident Consumption]]-SUMIFS(ConsumptionModel[Resource Demand],ConsumptionModel[Resource],ResourceMonitor[[#This Row],[Resource]]))</f>
        <v>0</v>
      </c>
      <c r="U54" s="122">
        <f>IFERROR(INDEX(#REF!,MATCH(ResourceMonitor[[#This Row],[Resource]],#REF!,0)),0)</f>
        <v>0</v>
      </c>
      <c r="V54" s="194">
        <f>IFERROR(ResourceMonitor[[#This Row],[Amount Produced]]/ResourceMonitor[[#This Row],[Production Target]],0)</f>
        <v>0</v>
      </c>
      <c r="W54" s="133"/>
      <c r="X54" s="47">
        <f>IF(ResourceMonitor[[#This Row],[Ignore shipping needs?]]="Yes",0,ROUNDUP(ResourceMonitor[[#This Row],[Production Target]]/INDEX(ShipRequirementCalculator[Cargo capacity/h (return, 50% empty)],MATCH($X$15,ShipRequirementCalculator[Ship],0)),0))</f>
        <v>0</v>
      </c>
      <c r="Y54" s="47">
        <f>IF(ResourceMonitor[[#This Row],[Ignore shipping needs?]]="Yes",0,ROUNDUP(ResourceMonitor[[#This Row],[Production Target]]/INDEX(ShipRequirementCalculator[Cargo capacity/h (return, 50% empty)],MATCH($Y$15,ShipRequirementCalculator[Ship],0)),0))</f>
        <v>0</v>
      </c>
      <c r="Z54" s="47">
        <f>IF(ResourceMonitor[[#This Row],[Ignore shipping needs?]]="Yes",0,ROUNDUP(ResourceMonitor[[#This Row],[Production Target]]/INDEX(ShipRequirementCalculator[Cargo capacity/h (return, 50% empty)],MATCH($Z$15,ShipRequirementCalculator[Ship],0)),0))</f>
        <v>0</v>
      </c>
      <c r="AA54" s="124"/>
      <c r="AD54" s="83">
        <f>ROW()</f>
        <v>54</v>
      </c>
      <c r="AE54" s="106"/>
      <c r="AF54" s="72"/>
      <c r="AG54" s="18"/>
      <c r="AH54" s="18"/>
      <c r="AI54" s="156">
        <f>IFERROR(IslandModel[[#This Row],[Quantity]]/IslandModel[[#This Row],[Target Quantity]],0)</f>
        <v>0</v>
      </c>
      <c r="AJ54" s="61" t="str">
        <f>IFERROR(INDEX(Production[Resource Produced],MATCH(IslandModel[[#This Row],[Building]],Production[Building],0)),"")</f>
        <v/>
      </c>
      <c r="AK54" s="99">
        <f>IFERROR(IslandModel[[#This Row],[Quantity]]*INDEX(Production[Production in 1h],MATCH(IslandModel[[#This Row],[Building]],Production[Building],0))*IslandModel[[#This Row],[Input Consumption Multiplier]],0)</f>
        <v>0</v>
      </c>
      <c r="AL54" s="115">
        <f>100%</f>
        <v>1</v>
      </c>
      <c r="AM54"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54" s="77" t="str">
        <f>IFERROR(INDEX(Production[Input 1],MATCH(IslandModel[[#This Row],[Building]],Production[Building],0)),"")</f>
        <v/>
      </c>
      <c r="AO54" s="78"/>
      <c r="AP54"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54"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54"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54" s="35" t="str">
        <f>IFERROR(INDEX(Production[Input 2],MATCH(IslandModel[[#This Row],[Building]],Production[Building],0)),"")</f>
        <v/>
      </c>
      <c r="AT54" s="78"/>
      <c r="AU54"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54"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54"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54" s="35" t="str">
        <f>IFERROR(INDEX(Production[Input 3],MATCH(IslandModel[[#This Row],[Building]],Production[Building],0)),"")</f>
        <v/>
      </c>
      <c r="AY54" s="78"/>
      <c r="AZ54"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54"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54"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54" s="35" t="str">
        <f>IFERROR(INDEX(Production[Input 4],MATCH(IslandModel[[#This Row],[Building]],Production[Building],0)),"")</f>
        <v/>
      </c>
      <c r="BD54" s="78"/>
      <c r="BE54"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54"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54"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54" s="35" t="str">
        <f>IFERROR(INDEX(Production[Input 5],MATCH(IslandModel[[#This Row],[Building]],Production[Building],0)),"")</f>
        <v/>
      </c>
      <c r="BI54" s="78"/>
      <c r="BJ54"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54"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54"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54" s="35" t="str">
        <f>IFERROR(INDEX(Production[Input 6],MATCH(IslandModel[[#This Row],[Building]],Production[Building],0)),"")</f>
        <v/>
      </c>
      <c r="BN54" s="78"/>
      <c r="BO54"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54"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54"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54" s="35" t="str">
        <f>IFERROR(INDEX(Production[Input 7],MATCH(IslandModel[[#This Row],[Building]],Production[Building],0)),"")</f>
        <v/>
      </c>
      <c r="BS54" s="78"/>
      <c r="BT54"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54"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54"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54" s="35" t="str">
        <f>IFERROR(INDEX(Production[Input 8],MATCH(IslandModel[[#This Row],[Building]],Production[Building],0)),"")</f>
        <v/>
      </c>
      <c r="BX54" s="78"/>
      <c r="BY54"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54"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54"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54" s="35" t="str">
        <f>IFERROR(INDEX(Production[Input 9],MATCH(IslandModel[[#This Row],[Building]],Production[Building],0)),"")</f>
        <v/>
      </c>
      <c r="CC54" s="78"/>
      <c r="CD54"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54"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54"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54" s="35" t="str">
        <f>IFERROR(INDEX(Production[Input 10],MATCH(IslandModel[[#This Row],[Building]],Production[Building],0)),"")</f>
        <v/>
      </c>
      <c r="CH54" s="78"/>
      <c r="CI54"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54"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54"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54"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54" s="82" t="str">
        <f>IslandModel[[#This Row],[Resource Produced]]</f>
        <v/>
      </c>
      <c r="CN54" s="42">
        <f>IslandModel[[#This Row],[Amount produced/h]]</f>
        <v>0</v>
      </c>
      <c r="CO54" s="42" t="str">
        <f>IslandModel[[#This Row],[Input 1]]</f>
        <v/>
      </c>
      <c r="CP54" s="42">
        <f>-IslandModel[[#This Row],[Input 1 Consumed]]</f>
        <v>0</v>
      </c>
      <c r="CQ54" s="42" t="str">
        <f>IslandModel[[#This Row],[Input 2]]</f>
        <v/>
      </c>
      <c r="CR54" s="42">
        <f>-IslandModel[[#This Row],[Input 2 Consumed]]</f>
        <v>0</v>
      </c>
      <c r="CS54" s="42" t="str">
        <f>IslandModel[[#This Row],[Input 3]]</f>
        <v/>
      </c>
      <c r="CT54" s="42">
        <f>-IslandModel[[#This Row],[Input 3 Consumed]]</f>
        <v>0</v>
      </c>
      <c r="CU54" s="42" t="str">
        <f>IslandModel[[#This Row],[Input 4]]</f>
        <v/>
      </c>
      <c r="CV54" s="42">
        <f>-IslandModel[[#This Row],[Input 4 Consumed]]</f>
        <v>0</v>
      </c>
      <c r="CW54" s="42" t="str">
        <f>IslandModel[[#This Row],[Input 5]]</f>
        <v/>
      </c>
      <c r="CX54" s="42">
        <f>-IslandModel[[#This Row],[Input 5 Consumed]]</f>
        <v>0</v>
      </c>
      <c r="CY54" s="42" t="str">
        <f>IslandModel[[#This Row],[Input 6]]</f>
        <v/>
      </c>
      <c r="CZ54" s="42">
        <f>-IslandModel[[#This Row],[Input 6 Consumed]]</f>
        <v>0</v>
      </c>
      <c r="DA54" s="42" t="str">
        <f>IslandModel[[#This Row],[Input 7]]</f>
        <v/>
      </c>
      <c r="DB54" s="42">
        <f>-IslandModel[[#This Row],[Input 7 Consumed]]</f>
        <v>0</v>
      </c>
      <c r="DC54" s="42" t="str">
        <f>IslandModel[[#This Row],[Input 8]]</f>
        <v/>
      </c>
      <c r="DD54" s="42">
        <f>-IslandModel[[#This Row],[Input 8 Consumed]]</f>
        <v>0</v>
      </c>
      <c r="DE54" s="42" t="str">
        <f>IslandModel[[#This Row],[Input 9]]</f>
        <v/>
      </c>
      <c r="DF54" s="42">
        <f>-IslandModel[[#This Row],[Input 9 Consumed]]</f>
        <v>0</v>
      </c>
      <c r="DG54" s="42" t="str">
        <f>IslandModel[[#This Row],[Input 10]]</f>
        <v/>
      </c>
      <c r="DH54" s="42">
        <f>-IslandModel[[#This Row],[Input 10 Consumed]]</f>
        <v>0</v>
      </c>
      <c r="DJ54" s="55" t="s">
        <v>652</v>
      </c>
      <c r="DK54" s="39">
        <f>SUM(SUMIFS(IslandModel[Resource 1 Qty],IslandModel[Resource 1],ResourceAvailable[[#This Row],[Resource]]))</f>
        <v>0</v>
      </c>
      <c r="DL54"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54" s="39">
        <f>ResourceAvailable[[#This Row],[Amount Produced]]-ResourceAvailable[[#This Row],[Amount Consumed]]</f>
        <v>0</v>
      </c>
      <c r="DN54" s="20">
        <f>MAX(0,ResourceAvailable[[#This Row],[Amount Available for Resident Consumption]]-SUMIFS(ConsumptionModel[Resource Demand],ConsumptionModel[Resource],ResourceAvailable[[#This Row],[Resource]]))</f>
        <v>0</v>
      </c>
    </row>
    <row r="55" spans="2:118" ht="21" x14ac:dyDescent="0.65">
      <c r="B55" s="178">
        <f>ROW()</f>
        <v>55</v>
      </c>
      <c r="C55" s="70">
        <f>INDEX(ConsumptionModelInputs[Quantity],MATCH(ConsumptionModel[[#This Row],[Building]],ConsumptionModelInputs[Building],0))</f>
        <v>34</v>
      </c>
      <c r="D55" s="179" t="s">
        <v>59</v>
      </c>
      <c r="E55" s="179" t="s">
        <v>137</v>
      </c>
      <c r="F55" s="64" t="str">
        <f>IF(OR(ISBLANK(ConsumptionModel[[#This Row],[Building]]),ISBLANK(ConsumptionModel[[#This Row],[Resource]]))," - ",INDEX(Consumption[Type],MATCH(ConsumptionModel[[#This Row],[LookupValue]],Consumption[LookupValue],0)))</f>
        <v>Need</v>
      </c>
      <c r="G55" s="61" t="str">
        <f>IF(OR(ISBLANK(ConsumptionModel[[#This Row],[Building]]),ISBLANK(ConsumptionModel[[#This Row],[Resource]]))," - ",ConsumptionModel[[#This Row],[Building]]&amp;" - "&amp;ConsumptionModel[[#This Row],[Resource]])</f>
        <v>Paragon's Residence - Clothes</v>
      </c>
      <c r="H55" s="62">
        <f>ConsumptionModel[[#This Row],[Quantity]]*INDEX(Consumption[Consumption/person/h],MATCH(ConsumptionModel[[#This Row],[LookupValue]],Consumption[LookupValue],0))*IFERROR(INDEX(ResidentBuildings[Residents],MATCH(ConsumptionModel[[#This Row],[Building]],ResidentBuildings[Building],0)),0)</f>
        <v>122.4</v>
      </c>
      <c r="I55"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55" s="65">
        <f>IF(ConsumptionModel[[#This Row],[Quantity]]=0,"",IF(AND(ConsumptionModel[[#This Row],[Resource Demand]]=0,ConsumptionModel[[#This Row],[Resource Available]]&gt;0),1,MIN(1,IFERROR(ConsumptionModel[[#This Row],[Resource Available]]/ConsumptionModel[[#This Row],[Resource Demand]],0))))</f>
        <v>0</v>
      </c>
      <c r="K55"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55" s="197"/>
      <c r="P55" s="71">
        <f>SUMIFS(ResourceAvailable[Amount Produced],ResourceAvailable[Resource],ResourceMonitor[[#This Row],[Resource]])</f>
        <v>0</v>
      </c>
      <c r="Q55" s="71">
        <f>SUMIFS(ResourceAvailable[Amount Consumed],ResourceAvailable[Resource],ResourceMonitor[[#This Row],[Resource]])</f>
        <v>0</v>
      </c>
      <c r="R55" s="71">
        <f>SUMIFS(ResourceAvailable[Amount Available for Resident Consumption],ResourceAvailable[Resource],ResourceMonitor[[#This Row],[Resource]])</f>
        <v>0</v>
      </c>
      <c r="S55" s="39">
        <f>MAX(0,ResourceMonitor[[#This Row],[Amount Available for Resident Consumption]]-SUMIFS(ConsumptionModel[Resource Demand],ConsumptionModel[Resource],ResourceMonitor[[#This Row],[Resource]]))</f>
        <v>0</v>
      </c>
      <c r="T55" s="39">
        <f>MIN(0,ResourceMonitor[[#This Row],[Amount Available for Resident Consumption]]-SUMIFS(ConsumptionModel[Resource Demand],ConsumptionModel[Resource],ResourceMonitor[[#This Row],[Resource]]))</f>
        <v>0</v>
      </c>
      <c r="U55" s="122">
        <f>IFERROR(INDEX(#REF!,MATCH(ResourceMonitor[[#This Row],[Resource]],#REF!,0)),0)</f>
        <v>0</v>
      </c>
      <c r="V55" s="194">
        <f>IFERROR(ResourceMonitor[[#This Row],[Amount Produced]]/ResourceMonitor[[#This Row],[Production Target]],0)</f>
        <v>0</v>
      </c>
      <c r="W55" s="133"/>
      <c r="X55" s="47">
        <f>IF(ResourceMonitor[[#This Row],[Ignore shipping needs?]]="Yes",0,ROUNDUP(ResourceMonitor[[#This Row],[Production Target]]/INDEX(ShipRequirementCalculator[Cargo capacity/h (return, 50% empty)],MATCH($X$15,ShipRequirementCalculator[Ship],0)),0))</f>
        <v>0</v>
      </c>
      <c r="Y55" s="47">
        <f>IF(ResourceMonitor[[#This Row],[Ignore shipping needs?]]="Yes",0,ROUNDUP(ResourceMonitor[[#This Row],[Production Target]]/INDEX(ShipRequirementCalculator[Cargo capacity/h (return, 50% empty)],MATCH($Y$15,ShipRequirementCalculator[Ship],0)),0))</f>
        <v>0</v>
      </c>
      <c r="Z55" s="47">
        <f>IF(ResourceMonitor[[#This Row],[Ignore shipping needs?]]="Yes",0,ROUNDUP(ResourceMonitor[[#This Row],[Production Target]]/INDEX(ShipRequirementCalculator[Cargo capacity/h (return, 50% empty)],MATCH($Z$15,ShipRequirementCalculator[Ship],0)),0))</f>
        <v>0</v>
      </c>
      <c r="AA55" s="124"/>
      <c r="AD55" s="83">
        <f>ROW()</f>
        <v>55</v>
      </c>
      <c r="AE55" s="106"/>
      <c r="AF55" s="72"/>
      <c r="AG55" s="18"/>
      <c r="AH55" s="18"/>
      <c r="AI55" s="156">
        <f>IFERROR(IslandModel[[#This Row],[Quantity]]/IslandModel[[#This Row],[Target Quantity]],0)</f>
        <v>0</v>
      </c>
      <c r="AJ55" s="61" t="str">
        <f>IFERROR(INDEX(Production[Resource Produced],MATCH(IslandModel[[#This Row],[Building]],Production[Building],0)),"")</f>
        <v/>
      </c>
      <c r="AK55" s="99">
        <f>IFERROR(IslandModel[[#This Row],[Quantity]]*INDEX(Production[Production in 1h],MATCH(IslandModel[[#This Row],[Building]],Production[Building],0))*IslandModel[[#This Row],[Input Consumption Multiplier]],0)</f>
        <v>0</v>
      </c>
      <c r="AL55" s="115">
        <f>100%</f>
        <v>1</v>
      </c>
      <c r="AM55"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55" s="77" t="str">
        <f>IFERROR(INDEX(Production[Input 1],MATCH(IslandModel[[#This Row],[Building]],Production[Building],0)),"")</f>
        <v/>
      </c>
      <c r="AO55" s="78"/>
      <c r="AP55"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55"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55"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55" s="35" t="str">
        <f>IFERROR(INDEX(Production[Input 2],MATCH(IslandModel[[#This Row],[Building]],Production[Building],0)),"")</f>
        <v/>
      </c>
      <c r="AT55" s="78"/>
      <c r="AU55"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55"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55"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55" s="35" t="str">
        <f>IFERROR(INDEX(Production[Input 3],MATCH(IslandModel[[#This Row],[Building]],Production[Building],0)),"")</f>
        <v/>
      </c>
      <c r="AY55" s="78"/>
      <c r="AZ55"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55"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55"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55" s="35" t="str">
        <f>IFERROR(INDEX(Production[Input 4],MATCH(IslandModel[[#This Row],[Building]],Production[Building],0)),"")</f>
        <v/>
      </c>
      <c r="BD55" s="78"/>
      <c r="BE55"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55"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55"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55" s="35" t="str">
        <f>IFERROR(INDEX(Production[Input 5],MATCH(IslandModel[[#This Row],[Building]],Production[Building],0)),"")</f>
        <v/>
      </c>
      <c r="BI55" s="78"/>
      <c r="BJ55"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55"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55"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55" s="35" t="str">
        <f>IFERROR(INDEX(Production[Input 6],MATCH(IslandModel[[#This Row],[Building]],Production[Building],0)),"")</f>
        <v/>
      </c>
      <c r="BN55" s="78"/>
      <c r="BO55"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55"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55"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55" s="35" t="str">
        <f>IFERROR(INDEX(Production[Input 7],MATCH(IslandModel[[#This Row],[Building]],Production[Building],0)),"")</f>
        <v/>
      </c>
      <c r="BS55" s="78"/>
      <c r="BT55"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55"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55"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55" s="35" t="str">
        <f>IFERROR(INDEX(Production[Input 8],MATCH(IslandModel[[#This Row],[Building]],Production[Building],0)),"")</f>
        <v/>
      </c>
      <c r="BX55" s="78"/>
      <c r="BY55"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55"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55"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55" s="35" t="str">
        <f>IFERROR(INDEX(Production[Input 9],MATCH(IslandModel[[#This Row],[Building]],Production[Building],0)),"")</f>
        <v/>
      </c>
      <c r="CC55" s="78"/>
      <c r="CD55"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55"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55"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55" s="35" t="str">
        <f>IFERROR(INDEX(Production[Input 10],MATCH(IslandModel[[#This Row],[Building]],Production[Building],0)),"")</f>
        <v/>
      </c>
      <c r="CH55" s="78"/>
      <c r="CI55"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55"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55"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55"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55" s="82" t="str">
        <f>IslandModel[[#This Row],[Resource Produced]]</f>
        <v/>
      </c>
      <c r="CN55" s="42">
        <f>IslandModel[[#This Row],[Amount produced/h]]</f>
        <v>0</v>
      </c>
      <c r="CO55" s="42" t="str">
        <f>IslandModel[[#This Row],[Input 1]]</f>
        <v/>
      </c>
      <c r="CP55" s="42">
        <f>-IslandModel[[#This Row],[Input 1 Consumed]]</f>
        <v>0</v>
      </c>
      <c r="CQ55" s="42" t="str">
        <f>IslandModel[[#This Row],[Input 2]]</f>
        <v/>
      </c>
      <c r="CR55" s="42">
        <f>-IslandModel[[#This Row],[Input 2 Consumed]]</f>
        <v>0</v>
      </c>
      <c r="CS55" s="42" t="str">
        <f>IslandModel[[#This Row],[Input 3]]</f>
        <v/>
      </c>
      <c r="CT55" s="42">
        <f>-IslandModel[[#This Row],[Input 3 Consumed]]</f>
        <v>0</v>
      </c>
      <c r="CU55" s="42" t="str">
        <f>IslandModel[[#This Row],[Input 4]]</f>
        <v/>
      </c>
      <c r="CV55" s="42">
        <f>-IslandModel[[#This Row],[Input 4 Consumed]]</f>
        <v>0</v>
      </c>
      <c r="CW55" s="42" t="str">
        <f>IslandModel[[#This Row],[Input 5]]</f>
        <v/>
      </c>
      <c r="CX55" s="42">
        <f>-IslandModel[[#This Row],[Input 5 Consumed]]</f>
        <v>0</v>
      </c>
      <c r="CY55" s="42" t="str">
        <f>IslandModel[[#This Row],[Input 6]]</f>
        <v/>
      </c>
      <c r="CZ55" s="42">
        <f>-IslandModel[[#This Row],[Input 6 Consumed]]</f>
        <v>0</v>
      </c>
      <c r="DA55" s="42" t="str">
        <f>IslandModel[[#This Row],[Input 7]]</f>
        <v/>
      </c>
      <c r="DB55" s="42">
        <f>-IslandModel[[#This Row],[Input 7 Consumed]]</f>
        <v>0</v>
      </c>
      <c r="DC55" s="42" t="str">
        <f>IslandModel[[#This Row],[Input 8]]</f>
        <v/>
      </c>
      <c r="DD55" s="42">
        <f>-IslandModel[[#This Row],[Input 8 Consumed]]</f>
        <v>0</v>
      </c>
      <c r="DE55" s="42" t="str">
        <f>IslandModel[[#This Row],[Input 9]]</f>
        <v/>
      </c>
      <c r="DF55" s="42">
        <f>-IslandModel[[#This Row],[Input 9 Consumed]]</f>
        <v>0</v>
      </c>
      <c r="DG55" s="42" t="str">
        <f>IslandModel[[#This Row],[Input 10]]</f>
        <v/>
      </c>
      <c r="DH55" s="42">
        <f>-IslandModel[[#This Row],[Input 10 Consumed]]</f>
        <v>0</v>
      </c>
      <c r="DJ55" t="s">
        <v>367</v>
      </c>
      <c r="DK55" s="39">
        <f>SUM(SUMIFS(IslandModel[Resource 1 Qty],IslandModel[Resource 1],ResourceAvailable[[#This Row],[Resource]]))</f>
        <v>0</v>
      </c>
      <c r="DL55"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55" s="39">
        <f>ResourceAvailable[[#This Row],[Amount Produced]]-ResourceAvailable[[#This Row],[Amount Consumed]]</f>
        <v>0</v>
      </c>
      <c r="DN55" s="20">
        <f>MAX(0,ResourceAvailable[[#This Row],[Amount Available for Resident Consumption]]-SUMIFS(ConsumptionModel[Resource Demand],ConsumptionModel[Resource],ResourceAvailable[[#This Row],[Resource]]))</f>
        <v>0</v>
      </c>
    </row>
    <row r="56" spans="2:118" ht="21" x14ac:dyDescent="0.65">
      <c r="B56" s="178">
        <f>ROW()</f>
        <v>56</v>
      </c>
      <c r="C56" s="70">
        <f>INDEX(ConsumptionModelInputs[Quantity],MATCH(ConsumptionModel[[#This Row],[Building]],ConsumptionModelInputs[Building],0))</f>
        <v>34</v>
      </c>
      <c r="D56" s="179" t="s">
        <v>59</v>
      </c>
      <c r="E56" s="179" t="s">
        <v>146</v>
      </c>
      <c r="F56" s="64" t="str">
        <f>IF(OR(ISBLANK(ConsumptionModel[[#This Row],[Building]]),ISBLANK(ConsumptionModel[[#This Row],[Resource]]))," - ",INDEX(Consumption[Type],MATCH(ConsumptionModel[[#This Row],[LookupValue]],Consumption[LookupValue],0)))</f>
        <v>Need</v>
      </c>
      <c r="G56" s="61" t="str">
        <f>IF(OR(ISBLANK(ConsumptionModel[[#This Row],[Building]]),ISBLANK(ConsumptionModel[[#This Row],[Resource]]))," - ",ConsumptionModel[[#This Row],[Building]]&amp;" - "&amp;ConsumptionModel[[#This Row],[Resource]])</f>
        <v>Paragon's Residence - Beer</v>
      </c>
      <c r="H56" s="62">
        <f>ConsumptionModel[[#This Row],[Quantity]]*INDEX(Consumption[Consumption/person/h],MATCH(ConsumptionModel[[#This Row],[LookupValue]],Consumption[LookupValue],0))*IFERROR(INDEX(ResidentBuildings[Residents],MATCH(ConsumptionModel[[#This Row],[Building]],ResidentBuildings[Building],0)),0)</f>
        <v>244.8</v>
      </c>
      <c r="I56"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56" s="65">
        <f>IF(ConsumptionModel[[#This Row],[Quantity]]=0,"",IF(AND(ConsumptionModel[[#This Row],[Resource Demand]]=0,ConsumptionModel[[#This Row],[Resource Available]]&gt;0),1,MIN(1,IFERROR(ConsumptionModel[[#This Row],[Resource Available]]/ConsumptionModel[[#This Row],[Resource Demand]],0))))</f>
        <v>0</v>
      </c>
      <c r="K56"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56" s="197"/>
      <c r="P56" s="71">
        <f>SUMIFS(ResourceAvailable[Amount Produced],ResourceAvailable[Resource],ResourceMonitor[[#This Row],[Resource]])</f>
        <v>0</v>
      </c>
      <c r="Q56" s="71">
        <f>SUMIFS(ResourceAvailable[Amount Consumed],ResourceAvailable[Resource],ResourceMonitor[[#This Row],[Resource]])</f>
        <v>0</v>
      </c>
      <c r="R56" s="71">
        <f>SUMIFS(ResourceAvailable[Amount Available for Resident Consumption],ResourceAvailable[Resource],ResourceMonitor[[#This Row],[Resource]])</f>
        <v>0</v>
      </c>
      <c r="S56" s="39">
        <f>MAX(0,ResourceMonitor[[#This Row],[Amount Available for Resident Consumption]]-SUMIFS(ConsumptionModel[Resource Demand],ConsumptionModel[Resource],ResourceMonitor[[#This Row],[Resource]]))</f>
        <v>0</v>
      </c>
      <c r="T56" s="39">
        <f>MIN(0,ResourceMonitor[[#This Row],[Amount Available for Resident Consumption]]-SUMIFS(ConsumptionModel[Resource Demand],ConsumptionModel[Resource],ResourceMonitor[[#This Row],[Resource]]))</f>
        <v>0</v>
      </c>
      <c r="U56" s="122">
        <f>IFERROR(INDEX(#REF!,MATCH(ResourceMonitor[[#This Row],[Resource]],#REF!,0)),0)</f>
        <v>0</v>
      </c>
      <c r="V56" s="194">
        <f>IFERROR(ResourceMonitor[[#This Row],[Amount Produced]]/ResourceMonitor[[#This Row],[Production Target]],0)</f>
        <v>0</v>
      </c>
      <c r="W56" s="133"/>
      <c r="X56" s="47">
        <f>IF(ResourceMonitor[[#This Row],[Ignore shipping needs?]]="Yes",0,ROUNDUP(ResourceMonitor[[#This Row],[Production Target]]/INDEX(ShipRequirementCalculator[Cargo capacity/h (return, 50% empty)],MATCH($X$15,ShipRequirementCalculator[Ship],0)),0))</f>
        <v>0</v>
      </c>
      <c r="Y56" s="47">
        <f>IF(ResourceMonitor[[#This Row],[Ignore shipping needs?]]="Yes",0,ROUNDUP(ResourceMonitor[[#This Row],[Production Target]]/INDEX(ShipRequirementCalculator[Cargo capacity/h (return, 50% empty)],MATCH($Y$15,ShipRequirementCalculator[Ship],0)),0))</f>
        <v>0</v>
      </c>
      <c r="Z56" s="47">
        <f>IF(ResourceMonitor[[#This Row],[Ignore shipping needs?]]="Yes",0,ROUNDUP(ResourceMonitor[[#This Row],[Production Target]]/INDEX(ShipRequirementCalculator[Cargo capacity/h (return, 50% empty)],MATCH($Z$15,ShipRequirementCalculator[Ship],0)),0))</f>
        <v>0</v>
      </c>
      <c r="AA56" s="124"/>
      <c r="AD56" s="83">
        <f>ROW()</f>
        <v>56</v>
      </c>
      <c r="AE56" s="106"/>
      <c r="AF56" s="72"/>
      <c r="AG56" s="18"/>
      <c r="AH56" s="18"/>
      <c r="AI56" s="156">
        <f>IFERROR(IslandModel[[#This Row],[Quantity]]/IslandModel[[#This Row],[Target Quantity]],0)</f>
        <v>0</v>
      </c>
      <c r="AJ56" s="61" t="str">
        <f>IFERROR(INDEX(Production[Resource Produced],MATCH(IslandModel[[#This Row],[Building]],Production[Building],0)),"")</f>
        <v/>
      </c>
      <c r="AK56" s="99">
        <f>IFERROR(IslandModel[[#This Row],[Quantity]]*INDEX(Production[Production in 1h],MATCH(IslandModel[[#This Row],[Building]],Production[Building],0))*IslandModel[[#This Row],[Input Consumption Multiplier]],0)</f>
        <v>0</v>
      </c>
      <c r="AL56" s="115">
        <f>100%</f>
        <v>1</v>
      </c>
      <c r="AM56"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56" s="77" t="str">
        <f>IFERROR(INDEX(Production[Input 1],MATCH(IslandModel[[#This Row],[Building]],Production[Building],0)),"")</f>
        <v/>
      </c>
      <c r="AO56" s="78"/>
      <c r="AP56"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56"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56"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56" s="35" t="str">
        <f>IFERROR(INDEX(Production[Input 2],MATCH(IslandModel[[#This Row],[Building]],Production[Building],0)),"")</f>
        <v/>
      </c>
      <c r="AT56" s="78"/>
      <c r="AU56"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56"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56"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56" s="35" t="str">
        <f>IFERROR(INDEX(Production[Input 3],MATCH(IslandModel[[#This Row],[Building]],Production[Building],0)),"")</f>
        <v/>
      </c>
      <c r="AY56" s="78"/>
      <c r="AZ56"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56"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56"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56" s="35" t="str">
        <f>IFERROR(INDEX(Production[Input 4],MATCH(IslandModel[[#This Row],[Building]],Production[Building],0)),"")</f>
        <v/>
      </c>
      <c r="BD56" s="78"/>
      <c r="BE56"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56"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56"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56" s="35" t="str">
        <f>IFERROR(INDEX(Production[Input 5],MATCH(IslandModel[[#This Row],[Building]],Production[Building],0)),"")</f>
        <v/>
      </c>
      <c r="BI56" s="78"/>
      <c r="BJ56"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56"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56"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56" s="35" t="str">
        <f>IFERROR(INDEX(Production[Input 6],MATCH(IslandModel[[#This Row],[Building]],Production[Building],0)),"")</f>
        <v/>
      </c>
      <c r="BN56" s="78"/>
      <c r="BO56"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56"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56"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56" s="35" t="str">
        <f>IFERROR(INDEX(Production[Input 7],MATCH(IslandModel[[#This Row],[Building]],Production[Building],0)),"")</f>
        <v/>
      </c>
      <c r="BS56" s="78"/>
      <c r="BT56"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56"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56"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56" s="35" t="str">
        <f>IFERROR(INDEX(Production[Input 8],MATCH(IslandModel[[#This Row],[Building]],Production[Building],0)),"")</f>
        <v/>
      </c>
      <c r="BX56" s="78"/>
      <c r="BY56"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56"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56"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56" s="35" t="str">
        <f>IFERROR(INDEX(Production[Input 9],MATCH(IslandModel[[#This Row],[Building]],Production[Building],0)),"")</f>
        <v/>
      </c>
      <c r="CC56" s="78"/>
      <c r="CD56"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56"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56"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56" s="35" t="str">
        <f>IFERROR(INDEX(Production[Input 10],MATCH(IslandModel[[#This Row],[Building]],Production[Building],0)),"")</f>
        <v/>
      </c>
      <c r="CH56" s="78"/>
      <c r="CI56"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56"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56"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56"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56" s="82" t="str">
        <f>IslandModel[[#This Row],[Resource Produced]]</f>
        <v/>
      </c>
      <c r="CN56" s="42">
        <f>IslandModel[[#This Row],[Amount produced/h]]</f>
        <v>0</v>
      </c>
      <c r="CO56" s="42" t="str">
        <f>IslandModel[[#This Row],[Input 1]]</f>
        <v/>
      </c>
      <c r="CP56" s="42">
        <f>-IslandModel[[#This Row],[Input 1 Consumed]]</f>
        <v>0</v>
      </c>
      <c r="CQ56" s="42" t="str">
        <f>IslandModel[[#This Row],[Input 2]]</f>
        <v/>
      </c>
      <c r="CR56" s="42">
        <f>-IslandModel[[#This Row],[Input 2 Consumed]]</f>
        <v>0</v>
      </c>
      <c r="CS56" s="42" t="str">
        <f>IslandModel[[#This Row],[Input 3]]</f>
        <v/>
      </c>
      <c r="CT56" s="42">
        <f>-IslandModel[[#This Row],[Input 3 Consumed]]</f>
        <v>0</v>
      </c>
      <c r="CU56" s="42" t="str">
        <f>IslandModel[[#This Row],[Input 4]]</f>
        <v/>
      </c>
      <c r="CV56" s="42">
        <f>-IslandModel[[#This Row],[Input 4 Consumed]]</f>
        <v>0</v>
      </c>
      <c r="CW56" s="42" t="str">
        <f>IslandModel[[#This Row],[Input 5]]</f>
        <v/>
      </c>
      <c r="CX56" s="42">
        <f>-IslandModel[[#This Row],[Input 5 Consumed]]</f>
        <v>0</v>
      </c>
      <c r="CY56" s="42" t="str">
        <f>IslandModel[[#This Row],[Input 6]]</f>
        <v/>
      </c>
      <c r="CZ56" s="42">
        <f>-IslandModel[[#This Row],[Input 6 Consumed]]</f>
        <v>0</v>
      </c>
      <c r="DA56" s="42" t="str">
        <f>IslandModel[[#This Row],[Input 7]]</f>
        <v/>
      </c>
      <c r="DB56" s="42">
        <f>-IslandModel[[#This Row],[Input 7 Consumed]]</f>
        <v>0</v>
      </c>
      <c r="DC56" s="42" t="str">
        <f>IslandModel[[#This Row],[Input 8]]</f>
        <v/>
      </c>
      <c r="DD56" s="42">
        <f>-IslandModel[[#This Row],[Input 8 Consumed]]</f>
        <v>0</v>
      </c>
      <c r="DE56" s="42" t="str">
        <f>IslandModel[[#This Row],[Input 9]]</f>
        <v/>
      </c>
      <c r="DF56" s="42">
        <f>-IslandModel[[#This Row],[Input 9 Consumed]]</f>
        <v>0</v>
      </c>
      <c r="DG56" s="42" t="str">
        <f>IslandModel[[#This Row],[Input 10]]</f>
        <v/>
      </c>
      <c r="DH56" s="42">
        <f>-IslandModel[[#This Row],[Input 10 Consumed]]</f>
        <v>0</v>
      </c>
      <c r="DJ56" s="55" t="s">
        <v>60</v>
      </c>
      <c r="DK56" s="39">
        <f>SUM(SUMIFS(IslandModel[Resource 1 Qty],IslandModel[Resource 1],ResourceAvailable[[#This Row],[Resource]]))</f>
        <v>0</v>
      </c>
      <c r="DL56"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56" s="39">
        <f>ResourceAvailable[[#This Row],[Amount Produced]]-ResourceAvailable[[#This Row],[Amount Consumed]]</f>
        <v>0</v>
      </c>
      <c r="DN56" s="20">
        <f>MAX(0,ResourceAvailable[[#This Row],[Amount Available for Resident Consumption]]-SUMIFS(ConsumptionModel[Resource Demand],ConsumptionModel[Resource],ResourceAvailable[[#This Row],[Resource]]))</f>
        <v>0</v>
      </c>
    </row>
    <row r="57" spans="2:118" ht="21" x14ac:dyDescent="0.65">
      <c r="B57" s="178">
        <f>ROW()</f>
        <v>57</v>
      </c>
      <c r="C57" s="70">
        <f>INDEX(ConsumptionModelInputs[Quantity],MATCH(ConsumptionModel[[#This Row],[Building]],ConsumptionModelInputs[Building],0))</f>
        <v>34</v>
      </c>
      <c r="D57" s="179" t="s">
        <v>59</v>
      </c>
      <c r="E57" s="179" t="s">
        <v>167</v>
      </c>
      <c r="F57" s="64" t="str">
        <f>IF(OR(ISBLANK(ConsumptionModel[[#This Row],[Building]]),ISBLANK(ConsumptionModel[[#This Row],[Resource]]))," - ",INDEX(Consumption[Type],MATCH(ConsumptionModel[[#This Row],[LookupValue]],Consumption[LookupValue],0)))</f>
        <v>Need</v>
      </c>
      <c r="G57" s="61" t="str">
        <f>IF(OR(ISBLANK(ConsumptionModel[[#This Row],[Building]]),ISBLANK(ConsumptionModel[[#This Row],[Resource]]))," - ",ConsumptionModel[[#This Row],[Building]]&amp;" - "&amp;ConsumptionModel[[#This Row],[Resource]])</f>
        <v>Paragon's Residence - Meat</v>
      </c>
      <c r="H57" s="62">
        <f>ConsumptionModel[[#This Row],[Quantity]]*INDEX(Consumption[Consumption/person/h],MATCH(ConsumptionModel[[#This Row],[LookupValue]],Consumption[LookupValue],0))*IFERROR(INDEX(ResidentBuildings[Residents],MATCH(ConsumptionModel[[#This Row],[Building]],ResidentBuildings[Building],0)),0)</f>
        <v>489.6</v>
      </c>
      <c r="I57"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57" s="65">
        <f>IF(ConsumptionModel[[#This Row],[Quantity]]=0,"",IF(AND(ConsumptionModel[[#This Row],[Resource Demand]]=0,ConsumptionModel[[#This Row],[Resource Available]]&gt;0),1,MIN(1,IFERROR(ConsumptionModel[[#This Row],[Resource Available]]/ConsumptionModel[[#This Row],[Resource Demand]],0))))</f>
        <v>0</v>
      </c>
      <c r="K57"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57" s="197"/>
      <c r="P57" s="71">
        <f>SUMIFS(ResourceAvailable[Amount Produced],ResourceAvailable[Resource],ResourceMonitor[[#This Row],[Resource]])</f>
        <v>0</v>
      </c>
      <c r="Q57" s="71">
        <f>SUMIFS(ResourceAvailable[Amount Consumed],ResourceAvailable[Resource],ResourceMonitor[[#This Row],[Resource]])</f>
        <v>0</v>
      </c>
      <c r="R57" s="71">
        <f>SUMIFS(ResourceAvailable[Amount Available for Resident Consumption],ResourceAvailable[Resource],ResourceMonitor[[#This Row],[Resource]])</f>
        <v>0</v>
      </c>
      <c r="S57" s="39">
        <f>MAX(0,ResourceMonitor[[#This Row],[Amount Available for Resident Consumption]]-SUMIFS(ConsumptionModel[Resource Demand],ConsumptionModel[Resource],ResourceMonitor[[#This Row],[Resource]]))</f>
        <v>0</v>
      </c>
      <c r="T57" s="39">
        <f>MIN(0,ResourceMonitor[[#This Row],[Amount Available for Resident Consumption]]-SUMIFS(ConsumptionModel[Resource Demand],ConsumptionModel[Resource],ResourceMonitor[[#This Row],[Resource]]))</f>
        <v>0</v>
      </c>
      <c r="U57" s="122">
        <f>IFERROR(INDEX(#REF!,MATCH(ResourceMonitor[[#This Row],[Resource]],#REF!,0)),0)</f>
        <v>0</v>
      </c>
      <c r="V57" s="194">
        <f>IFERROR(ResourceMonitor[[#This Row],[Amount Produced]]/ResourceMonitor[[#This Row],[Production Target]],0)</f>
        <v>0</v>
      </c>
      <c r="W57" s="133"/>
      <c r="X57" s="47">
        <f>IF(ResourceMonitor[[#This Row],[Ignore shipping needs?]]="Yes",0,ROUNDUP(ResourceMonitor[[#This Row],[Production Target]]/INDEX(ShipRequirementCalculator[Cargo capacity/h (return, 50% empty)],MATCH($X$15,ShipRequirementCalculator[Ship],0)),0))</f>
        <v>0</v>
      </c>
      <c r="Y57" s="47">
        <f>IF(ResourceMonitor[[#This Row],[Ignore shipping needs?]]="Yes",0,ROUNDUP(ResourceMonitor[[#This Row],[Production Target]]/INDEX(ShipRequirementCalculator[Cargo capacity/h (return, 50% empty)],MATCH($Y$15,ShipRequirementCalculator[Ship],0)),0))</f>
        <v>0</v>
      </c>
      <c r="Z57" s="47">
        <f>IF(ResourceMonitor[[#This Row],[Ignore shipping needs?]]="Yes",0,ROUNDUP(ResourceMonitor[[#This Row],[Production Target]]/INDEX(ShipRequirementCalculator[Cargo capacity/h (return, 50% empty)],MATCH($Z$15,ShipRequirementCalculator[Ship],0)),0))</f>
        <v>0</v>
      </c>
      <c r="AA57" s="124"/>
      <c r="AD57" s="83">
        <f>ROW()</f>
        <v>57</v>
      </c>
      <c r="AE57" s="106"/>
      <c r="AF57" s="72"/>
      <c r="AG57" s="18"/>
      <c r="AH57" s="18"/>
      <c r="AI57" s="156">
        <f>IFERROR(IslandModel[[#This Row],[Quantity]]/IslandModel[[#This Row],[Target Quantity]],0)</f>
        <v>0</v>
      </c>
      <c r="AJ57" s="61" t="str">
        <f>IFERROR(INDEX(Production[Resource Produced],MATCH(IslandModel[[#This Row],[Building]],Production[Building],0)),"")</f>
        <v/>
      </c>
      <c r="AK57" s="99">
        <f>IFERROR(IslandModel[[#This Row],[Quantity]]*INDEX(Production[Production in 1h],MATCH(IslandModel[[#This Row],[Building]],Production[Building],0))*IslandModel[[#This Row],[Input Consumption Multiplier]],0)</f>
        <v>0</v>
      </c>
      <c r="AL57" s="115">
        <f>100%</f>
        <v>1</v>
      </c>
      <c r="AM57"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57" s="77" t="str">
        <f>IFERROR(INDEX(Production[Input 1],MATCH(IslandModel[[#This Row],[Building]],Production[Building],0)),"")</f>
        <v/>
      </c>
      <c r="AO57" s="78"/>
      <c r="AP57"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57"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57"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57" s="35" t="str">
        <f>IFERROR(INDEX(Production[Input 2],MATCH(IslandModel[[#This Row],[Building]],Production[Building],0)),"")</f>
        <v/>
      </c>
      <c r="AT57" s="78"/>
      <c r="AU57"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57"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57"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57" s="35" t="str">
        <f>IFERROR(INDEX(Production[Input 3],MATCH(IslandModel[[#This Row],[Building]],Production[Building],0)),"")</f>
        <v/>
      </c>
      <c r="AY57" s="78"/>
      <c r="AZ57"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57"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57"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57" s="35" t="str">
        <f>IFERROR(INDEX(Production[Input 4],MATCH(IslandModel[[#This Row],[Building]],Production[Building],0)),"")</f>
        <v/>
      </c>
      <c r="BD57" s="78"/>
      <c r="BE57"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57"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57"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57" s="35" t="str">
        <f>IFERROR(INDEX(Production[Input 5],MATCH(IslandModel[[#This Row],[Building]],Production[Building],0)),"")</f>
        <v/>
      </c>
      <c r="BI57" s="78"/>
      <c r="BJ57"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57"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57"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57" s="35" t="str">
        <f>IFERROR(INDEX(Production[Input 6],MATCH(IslandModel[[#This Row],[Building]],Production[Building],0)),"")</f>
        <v/>
      </c>
      <c r="BN57" s="78"/>
      <c r="BO57"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57"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57"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57" s="35" t="str">
        <f>IFERROR(INDEX(Production[Input 7],MATCH(IslandModel[[#This Row],[Building]],Production[Building],0)),"")</f>
        <v/>
      </c>
      <c r="BS57" s="78"/>
      <c r="BT57"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57"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57"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57" s="35" t="str">
        <f>IFERROR(INDEX(Production[Input 8],MATCH(IslandModel[[#This Row],[Building]],Production[Building],0)),"")</f>
        <v/>
      </c>
      <c r="BX57" s="78"/>
      <c r="BY57"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57"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57"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57" s="35" t="str">
        <f>IFERROR(INDEX(Production[Input 9],MATCH(IslandModel[[#This Row],[Building]],Production[Building],0)),"")</f>
        <v/>
      </c>
      <c r="CC57" s="78"/>
      <c r="CD57"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57"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57"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57" s="35" t="str">
        <f>IFERROR(INDEX(Production[Input 10],MATCH(IslandModel[[#This Row],[Building]],Production[Building],0)),"")</f>
        <v/>
      </c>
      <c r="CH57" s="78"/>
      <c r="CI57"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57"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57"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57"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57" s="82" t="str">
        <f>IslandModel[[#This Row],[Resource Produced]]</f>
        <v/>
      </c>
      <c r="CN57" s="42">
        <f>IslandModel[[#This Row],[Amount produced/h]]</f>
        <v>0</v>
      </c>
      <c r="CO57" s="42" t="str">
        <f>IslandModel[[#This Row],[Input 1]]</f>
        <v/>
      </c>
      <c r="CP57" s="42">
        <f>-IslandModel[[#This Row],[Input 1 Consumed]]</f>
        <v>0</v>
      </c>
      <c r="CQ57" s="42" t="str">
        <f>IslandModel[[#This Row],[Input 2]]</f>
        <v/>
      </c>
      <c r="CR57" s="42">
        <f>-IslandModel[[#This Row],[Input 2 Consumed]]</f>
        <v>0</v>
      </c>
      <c r="CS57" s="42" t="str">
        <f>IslandModel[[#This Row],[Input 3]]</f>
        <v/>
      </c>
      <c r="CT57" s="42">
        <f>-IslandModel[[#This Row],[Input 3 Consumed]]</f>
        <v>0</v>
      </c>
      <c r="CU57" s="42" t="str">
        <f>IslandModel[[#This Row],[Input 4]]</f>
        <v/>
      </c>
      <c r="CV57" s="42">
        <f>-IslandModel[[#This Row],[Input 4 Consumed]]</f>
        <v>0</v>
      </c>
      <c r="CW57" s="42" t="str">
        <f>IslandModel[[#This Row],[Input 5]]</f>
        <v/>
      </c>
      <c r="CX57" s="42">
        <f>-IslandModel[[#This Row],[Input 5 Consumed]]</f>
        <v>0</v>
      </c>
      <c r="CY57" s="42" t="str">
        <f>IslandModel[[#This Row],[Input 6]]</f>
        <v/>
      </c>
      <c r="CZ57" s="42">
        <f>-IslandModel[[#This Row],[Input 6 Consumed]]</f>
        <v>0</v>
      </c>
      <c r="DA57" s="42" t="str">
        <f>IslandModel[[#This Row],[Input 7]]</f>
        <v/>
      </c>
      <c r="DB57" s="42">
        <f>-IslandModel[[#This Row],[Input 7 Consumed]]</f>
        <v>0</v>
      </c>
      <c r="DC57" s="42" t="str">
        <f>IslandModel[[#This Row],[Input 8]]</f>
        <v/>
      </c>
      <c r="DD57" s="42">
        <f>-IslandModel[[#This Row],[Input 8 Consumed]]</f>
        <v>0</v>
      </c>
      <c r="DE57" s="42" t="str">
        <f>IslandModel[[#This Row],[Input 9]]</f>
        <v/>
      </c>
      <c r="DF57" s="42">
        <f>-IslandModel[[#This Row],[Input 9 Consumed]]</f>
        <v>0</v>
      </c>
      <c r="DG57" s="42" t="str">
        <f>IslandModel[[#This Row],[Input 10]]</f>
        <v/>
      </c>
      <c r="DH57" s="42">
        <f>-IslandModel[[#This Row],[Input 10 Consumed]]</f>
        <v>0</v>
      </c>
      <c r="DJ57" t="s">
        <v>379</v>
      </c>
      <c r="DK57" s="39">
        <f>SUM(SUMIFS(IslandModel[Resource 1 Qty],IslandModel[Resource 1],ResourceAvailable[[#This Row],[Resource]]))</f>
        <v>0</v>
      </c>
      <c r="DL57"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57" s="39">
        <f>ResourceAvailable[[#This Row],[Amount Produced]]-ResourceAvailable[[#This Row],[Amount Consumed]]</f>
        <v>0</v>
      </c>
      <c r="DN57" s="20">
        <f>MAX(0,ResourceAvailable[[#This Row],[Amount Available for Resident Consumption]]-SUMIFS(ConsumptionModel[Resource Demand],ConsumptionModel[Resource],ResourceAvailable[[#This Row],[Resource]]))</f>
        <v>0</v>
      </c>
    </row>
    <row r="58" spans="2:118" ht="21" x14ac:dyDescent="0.65">
      <c r="B58" s="178">
        <f>ROW()</f>
        <v>58</v>
      </c>
      <c r="C58" s="70">
        <f>INDEX(ConsumptionModelInputs[Quantity],MATCH(ConsumptionModel[[#This Row],[Building]],ConsumptionModelInputs[Building],0))</f>
        <v>34</v>
      </c>
      <c r="D58" s="179" t="s">
        <v>59</v>
      </c>
      <c r="E58" s="179" t="s">
        <v>330</v>
      </c>
      <c r="F58" s="64" t="str">
        <f>IF(OR(ISBLANK(ConsumptionModel[[#This Row],[Building]]),ISBLANK(ConsumptionModel[[#This Row],[Resource]]))," - ",INDEX(Consumption[Type],MATCH(ConsumptionModel[[#This Row],[LookupValue]],Consumption[LookupValue],0)))</f>
        <v>Need</v>
      </c>
      <c r="G58" s="61" t="str">
        <f>IF(OR(ISBLANK(ConsumptionModel[[#This Row],[Building]]),ISBLANK(ConsumptionModel[[#This Row],[Resource]]))," - ",ConsumptionModel[[#This Row],[Building]]&amp;" - "&amp;ConsumptionModel[[#This Row],[Resource]])</f>
        <v>Paragon's Residence - Water</v>
      </c>
      <c r="H58" s="62">
        <f>ConsumptionModel[[#This Row],[Quantity]]*INDEX(Consumption[Consumption/person/h],MATCH(ConsumptionModel[[#This Row],[LookupValue]],Consumption[LookupValue],0))*IFERROR(INDEX(ResidentBuildings[Residents],MATCH(ConsumptionModel[[#This Row],[Building]],ResidentBuildings[Building],0)),0)</f>
        <v>0</v>
      </c>
      <c r="I58"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58" s="65">
        <f>IF(ConsumptionModel[[#This Row],[Quantity]]=0,"",IF(AND(ConsumptionModel[[#This Row],[Resource Demand]]=0,ConsumptionModel[[#This Row],[Resource Available]]&gt;0),1,MIN(1,IFERROR(ConsumptionModel[[#This Row],[Resource Available]]/ConsumptionModel[[#This Row],[Resource Demand]],0))))</f>
        <v>0</v>
      </c>
      <c r="K58"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58" s="197"/>
      <c r="P58" s="71">
        <f>SUMIFS(ResourceAvailable[Amount Produced],ResourceAvailable[Resource],ResourceMonitor[[#This Row],[Resource]])</f>
        <v>0</v>
      </c>
      <c r="Q58" s="71">
        <f>SUMIFS(ResourceAvailable[Amount Consumed],ResourceAvailable[Resource],ResourceMonitor[[#This Row],[Resource]])</f>
        <v>0</v>
      </c>
      <c r="R58" s="71">
        <f>SUMIFS(ResourceAvailable[Amount Available for Resident Consumption],ResourceAvailable[Resource],ResourceMonitor[[#This Row],[Resource]])</f>
        <v>0</v>
      </c>
      <c r="S58" s="39">
        <f>MAX(0,ResourceMonitor[[#This Row],[Amount Available for Resident Consumption]]-SUMIFS(ConsumptionModel[Resource Demand],ConsumptionModel[Resource],ResourceMonitor[[#This Row],[Resource]]))</f>
        <v>0</v>
      </c>
      <c r="T58" s="39">
        <f>MIN(0,ResourceMonitor[[#This Row],[Amount Available for Resident Consumption]]-SUMIFS(ConsumptionModel[Resource Demand],ConsumptionModel[Resource],ResourceMonitor[[#This Row],[Resource]]))</f>
        <v>0</v>
      </c>
      <c r="U58" s="122">
        <f>IFERROR(INDEX(#REF!,MATCH(ResourceMonitor[[#This Row],[Resource]],#REF!,0)),0)</f>
        <v>0</v>
      </c>
      <c r="V58" s="194">
        <f>IFERROR(ResourceMonitor[[#This Row],[Amount Produced]]/ResourceMonitor[[#This Row],[Production Target]],0)</f>
        <v>0</v>
      </c>
      <c r="W58" s="133"/>
      <c r="X58" s="47">
        <f>IF(ResourceMonitor[[#This Row],[Ignore shipping needs?]]="Yes",0,ROUNDUP(ResourceMonitor[[#This Row],[Production Target]]/INDEX(ShipRequirementCalculator[Cargo capacity/h (return, 50% empty)],MATCH($X$15,ShipRequirementCalculator[Ship],0)),0))</f>
        <v>0</v>
      </c>
      <c r="Y58" s="47">
        <f>IF(ResourceMonitor[[#This Row],[Ignore shipping needs?]]="Yes",0,ROUNDUP(ResourceMonitor[[#This Row],[Production Target]]/INDEX(ShipRequirementCalculator[Cargo capacity/h (return, 50% empty)],MATCH($Y$15,ShipRequirementCalculator[Ship],0)),0))</f>
        <v>0</v>
      </c>
      <c r="Z58" s="47">
        <f>IF(ResourceMonitor[[#This Row],[Ignore shipping needs?]]="Yes",0,ROUNDUP(ResourceMonitor[[#This Row],[Production Target]]/INDEX(ShipRequirementCalculator[Cargo capacity/h (return, 50% empty)],MATCH($Z$15,ShipRequirementCalculator[Ship],0)),0))</f>
        <v>0</v>
      </c>
      <c r="AA58" s="124"/>
      <c r="AD58" s="83">
        <f>ROW()</f>
        <v>58</v>
      </c>
      <c r="AE58" s="106"/>
      <c r="AF58" s="72"/>
      <c r="AG58" s="18"/>
      <c r="AH58" s="18"/>
      <c r="AI58" s="156">
        <f>IFERROR(IslandModel[[#This Row],[Quantity]]/IslandModel[[#This Row],[Target Quantity]],0)</f>
        <v>0</v>
      </c>
      <c r="AJ58" s="61" t="str">
        <f>IFERROR(INDEX(Production[Resource Produced],MATCH(IslandModel[[#This Row],[Building]],Production[Building],0)),"")</f>
        <v/>
      </c>
      <c r="AK58" s="99">
        <f>IFERROR(IslandModel[[#This Row],[Quantity]]*INDEX(Production[Production in 1h],MATCH(IslandModel[[#This Row],[Building]],Production[Building],0))*IslandModel[[#This Row],[Input Consumption Multiplier]],0)</f>
        <v>0</v>
      </c>
      <c r="AL58" s="115">
        <f>100%</f>
        <v>1</v>
      </c>
      <c r="AM58"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58" s="77" t="str">
        <f>IFERROR(INDEX(Production[Input 1],MATCH(IslandModel[[#This Row],[Building]],Production[Building],0)),"")</f>
        <v/>
      </c>
      <c r="AO58" s="78"/>
      <c r="AP58"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58"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58"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58" s="35" t="str">
        <f>IFERROR(INDEX(Production[Input 2],MATCH(IslandModel[[#This Row],[Building]],Production[Building],0)),"")</f>
        <v/>
      </c>
      <c r="AT58" s="78"/>
      <c r="AU58"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58"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58"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58" s="35" t="str">
        <f>IFERROR(INDEX(Production[Input 3],MATCH(IslandModel[[#This Row],[Building]],Production[Building],0)),"")</f>
        <v/>
      </c>
      <c r="AY58" s="78"/>
      <c r="AZ58"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58"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58"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58" s="35" t="str">
        <f>IFERROR(INDEX(Production[Input 4],MATCH(IslandModel[[#This Row],[Building]],Production[Building],0)),"")</f>
        <v/>
      </c>
      <c r="BD58" s="78"/>
      <c r="BE58"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58"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58"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58" s="35" t="str">
        <f>IFERROR(INDEX(Production[Input 5],MATCH(IslandModel[[#This Row],[Building]],Production[Building],0)),"")</f>
        <v/>
      </c>
      <c r="BI58" s="78"/>
      <c r="BJ58"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58"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58"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58" s="35" t="str">
        <f>IFERROR(INDEX(Production[Input 6],MATCH(IslandModel[[#This Row],[Building]],Production[Building],0)),"")</f>
        <v/>
      </c>
      <c r="BN58" s="78"/>
      <c r="BO58"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58"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58"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58" s="35" t="str">
        <f>IFERROR(INDEX(Production[Input 7],MATCH(IslandModel[[#This Row],[Building]],Production[Building],0)),"")</f>
        <v/>
      </c>
      <c r="BS58" s="78"/>
      <c r="BT58"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58"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58"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58" s="35" t="str">
        <f>IFERROR(INDEX(Production[Input 8],MATCH(IslandModel[[#This Row],[Building]],Production[Building],0)),"")</f>
        <v/>
      </c>
      <c r="BX58" s="78"/>
      <c r="BY58"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58"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58"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58" s="35" t="str">
        <f>IFERROR(INDEX(Production[Input 9],MATCH(IslandModel[[#This Row],[Building]],Production[Building],0)),"")</f>
        <v/>
      </c>
      <c r="CC58" s="78"/>
      <c r="CD58"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58"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58"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58" s="35" t="str">
        <f>IFERROR(INDEX(Production[Input 10],MATCH(IslandModel[[#This Row],[Building]],Production[Building],0)),"")</f>
        <v/>
      </c>
      <c r="CH58" s="78"/>
      <c r="CI58"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58"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58"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58"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58" s="82" t="str">
        <f>IslandModel[[#This Row],[Resource Produced]]</f>
        <v/>
      </c>
      <c r="CN58" s="42">
        <f>IslandModel[[#This Row],[Amount produced/h]]</f>
        <v>0</v>
      </c>
      <c r="CO58" s="42" t="str">
        <f>IslandModel[[#This Row],[Input 1]]</f>
        <v/>
      </c>
      <c r="CP58" s="42">
        <f>-IslandModel[[#This Row],[Input 1 Consumed]]</f>
        <v>0</v>
      </c>
      <c r="CQ58" s="42" t="str">
        <f>IslandModel[[#This Row],[Input 2]]</f>
        <v/>
      </c>
      <c r="CR58" s="42">
        <f>-IslandModel[[#This Row],[Input 2 Consumed]]</f>
        <v>0</v>
      </c>
      <c r="CS58" s="42" t="str">
        <f>IslandModel[[#This Row],[Input 3]]</f>
        <v/>
      </c>
      <c r="CT58" s="42">
        <f>-IslandModel[[#This Row],[Input 3 Consumed]]</f>
        <v>0</v>
      </c>
      <c r="CU58" s="42" t="str">
        <f>IslandModel[[#This Row],[Input 4]]</f>
        <v/>
      </c>
      <c r="CV58" s="42">
        <f>-IslandModel[[#This Row],[Input 4 Consumed]]</f>
        <v>0</v>
      </c>
      <c r="CW58" s="42" t="str">
        <f>IslandModel[[#This Row],[Input 5]]</f>
        <v/>
      </c>
      <c r="CX58" s="42">
        <f>-IslandModel[[#This Row],[Input 5 Consumed]]</f>
        <v>0</v>
      </c>
      <c r="CY58" s="42" t="str">
        <f>IslandModel[[#This Row],[Input 6]]</f>
        <v/>
      </c>
      <c r="CZ58" s="42">
        <f>-IslandModel[[#This Row],[Input 6 Consumed]]</f>
        <v>0</v>
      </c>
      <c r="DA58" s="42" t="str">
        <f>IslandModel[[#This Row],[Input 7]]</f>
        <v/>
      </c>
      <c r="DB58" s="42">
        <f>-IslandModel[[#This Row],[Input 7 Consumed]]</f>
        <v>0</v>
      </c>
      <c r="DC58" s="42" t="str">
        <f>IslandModel[[#This Row],[Input 8]]</f>
        <v/>
      </c>
      <c r="DD58" s="42">
        <f>-IslandModel[[#This Row],[Input 8 Consumed]]</f>
        <v>0</v>
      </c>
      <c r="DE58" s="42" t="str">
        <f>IslandModel[[#This Row],[Input 9]]</f>
        <v/>
      </c>
      <c r="DF58" s="42">
        <f>-IslandModel[[#This Row],[Input 9 Consumed]]</f>
        <v>0</v>
      </c>
      <c r="DG58" s="42" t="str">
        <f>IslandModel[[#This Row],[Input 10]]</f>
        <v/>
      </c>
      <c r="DH58" s="42">
        <f>-IslandModel[[#This Row],[Input 10 Consumed]]</f>
        <v>0</v>
      </c>
      <c r="DJ58" s="55" t="s">
        <v>391</v>
      </c>
      <c r="DK58" s="39">
        <f>SUM(SUMIFS(IslandModel[Resource 1 Qty],IslandModel[Resource 1],ResourceAvailable[[#This Row],[Resource]]))</f>
        <v>0</v>
      </c>
      <c r="DL58"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58" s="39">
        <f>ResourceAvailable[[#This Row],[Amount Produced]]-ResourceAvailable[[#This Row],[Amount Consumed]]</f>
        <v>0</v>
      </c>
      <c r="DN58" s="20">
        <f>MAX(0,ResourceAvailable[[#This Row],[Amount Available for Resident Consumption]]-SUMIFS(ConsumptionModel[Resource Demand],ConsumptionModel[Resource],ResourceAvailable[[#This Row],[Resource]]))</f>
        <v>0</v>
      </c>
    </row>
    <row r="59" spans="2:118" ht="21" x14ac:dyDescent="0.65">
      <c r="B59" s="178">
        <f>ROW()</f>
        <v>59</v>
      </c>
      <c r="C59" s="70">
        <f>INDEX(ConsumptionModelInputs[Quantity],MATCH(ConsumptionModel[[#This Row],[Building]],ConsumptionModelInputs[Building],0))</f>
        <v>34</v>
      </c>
      <c r="D59" s="179" t="s">
        <v>59</v>
      </c>
      <c r="E59" s="179" t="s">
        <v>331</v>
      </c>
      <c r="F59" s="64" t="str">
        <f>IF(OR(ISBLANK(ConsumptionModel[[#This Row],[Building]]),ISBLANK(ConsumptionModel[[#This Row],[Resource]]))," - ",INDEX(Consumption[Type],MATCH(ConsumptionModel[[#This Row],[LookupValue]],Consumption[LookupValue],0)))</f>
        <v>Need</v>
      </c>
      <c r="G59" s="61" t="str">
        <f>IF(OR(ISBLANK(ConsumptionModel[[#This Row],[Building]]),ISBLANK(ConsumptionModel[[#This Row],[Resource]]))," - ",ConsumptionModel[[#This Row],[Building]]&amp;" - "&amp;ConsumptionModel[[#This Row],[Resource]])</f>
        <v>Paragon's Residence - Community</v>
      </c>
      <c r="H59" s="62">
        <f>ConsumptionModel[[#This Row],[Quantity]]*INDEX(Consumption[Consumption/person/h],MATCH(ConsumptionModel[[#This Row],[LookupValue]],Consumption[LookupValue],0))*IFERROR(INDEX(ResidentBuildings[Residents],MATCH(ConsumptionModel[[#This Row],[Building]],ResidentBuildings[Building],0)),0)</f>
        <v>0</v>
      </c>
      <c r="I59"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59" s="65">
        <f>IF(ConsumptionModel[[#This Row],[Quantity]]=0,"",IF(AND(ConsumptionModel[[#This Row],[Resource Demand]]=0,ConsumptionModel[[#This Row],[Resource Available]]&gt;0),1,MIN(1,IFERROR(ConsumptionModel[[#This Row],[Resource Available]]/ConsumptionModel[[#This Row],[Resource Demand]],0))))</f>
        <v>0</v>
      </c>
      <c r="K59"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59" s="197"/>
      <c r="P59" s="71">
        <f>SUMIFS(ResourceAvailable[Amount Produced],ResourceAvailable[Resource],ResourceMonitor[[#This Row],[Resource]])</f>
        <v>0</v>
      </c>
      <c r="Q59" s="71">
        <f>SUMIFS(ResourceAvailable[Amount Consumed],ResourceAvailable[Resource],ResourceMonitor[[#This Row],[Resource]])</f>
        <v>0</v>
      </c>
      <c r="R59" s="71">
        <f>SUMIFS(ResourceAvailable[Amount Available for Resident Consumption],ResourceAvailable[Resource],ResourceMonitor[[#This Row],[Resource]])</f>
        <v>0</v>
      </c>
      <c r="S59" s="39">
        <f>MAX(0,ResourceMonitor[[#This Row],[Amount Available for Resident Consumption]]-SUMIFS(ConsumptionModel[Resource Demand],ConsumptionModel[Resource],ResourceMonitor[[#This Row],[Resource]]))</f>
        <v>0</v>
      </c>
      <c r="T59" s="39">
        <f>MIN(0,ResourceMonitor[[#This Row],[Amount Available for Resident Consumption]]-SUMIFS(ConsumptionModel[Resource Demand],ConsumptionModel[Resource],ResourceMonitor[[#This Row],[Resource]]))</f>
        <v>0</v>
      </c>
      <c r="U59" s="122">
        <f>IFERROR(INDEX(#REF!,MATCH(ResourceMonitor[[#This Row],[Resource]],#REF!,0)),0)</f>
        <v>0</v>
      </c>
      <c r="V59" s="194">
        <f>IFERROR(ResourceMonitor[[#This Row],[Amount Produced]]/ResourceMonitor[[#This Row],[Production Target]],0)</f>
        <v>0</v>
      </c>
      <c r="W59" s="133"/>
      <c r="X59" s="47">
        <f>IF(ResourceMonitor[[#This Row],[Ignore shipping needs?]]="Yes",0,ROUNDUP(ResourceMonitor[[#This Row],[Production Target]]/INDEX(ShipRequirementCalculator[Cargo capacity/h (return, 50% empty)],MATCH($X$15,ShipRequirementCalculator[Ship],0)),0))</f>
        <v>0</v>
      </c>
      <c r="Y59" s="47">
        <f>IF(ResourceMonitor[[#This Row],[Ignore shipping needs?]]="Yes",0,ROUNDUP(ResourceMonitor[[#This Row],[Production Target]]/INDEX(ShipRequirementCalculator[Cargo capacity/h (return, 50% empty)],MATCH($Y$15,ShipRequirementCalculator[Ship],0)),0))</f>
        <v>0</v>
      </c>
      <c r="Z59" s="47">
        <f>IF(ResourceMonitor[[#This Row],[Ignore shipping needs?]]="Yes",0,ROUNDUP(ResourceMonitor[[#This Row],[Production Target]]/INDEX(ShipRequirementCalculator[Cargo capacity/h (return, 50% empty)],MATCH($Z$15,ShipRequirementCalculator[Ship],0)),0))</f>
        <v>0</v>
      </c>
      <c r="AA59" s="124"/>
      <c r="AD59" s="83">
        <f>ROW()</f>
        <v>59</v>
      </c>
      <c r="AE59" s="106"/>
      <c r="AF59" s="72"/>
      <c r="AG59" s="18"/>
      <c r="AH59" s="18"/>
      <c r="AI59" s="156">
        <f>IFERROR(IslandModel[[#This Row],[Quantity]]/IslandModel[[#This Row],[Target Quantity]],0)</f>
        <v>0</v>
      </c>
      <c r="AJ59" s="61" t="str">
        <f>IFERROR(INDEX(Production[Resource Produced],MATCH(IslandModel[[#This Row],[Building]],Production[Building],0)),"")</f>
        <v/>
      </c>
      <c r="AK59" s="99">
        <f>IFERROR(IslandModel[[#This Row],[Quantity]]*INDEX(Production[Production in 1h],MATCH(IslandModel[[#This Row],[Building]],Production[Building],0))*IslandModel[[#This Row],[Input Consumption Multiplier]],0)</f>
        <v>0</v>
      </c>
      <c r="AL59" s="115">
        <f>100%</f>
        <v>1</v>
      </c>
      <c r="AM59"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59" s="77" t="str">
        <f>IFERROR(INDEX(Production[Input 1],MATCH(IslandModel[[#This Row],[Building]],Production[Building],0)),"")</f>
        <v/>
      </c>
      <c r="AO59" s="78"/>
      <c r="AP59"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59"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59"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59" s="35" t="str">
        <f>IFERROR(INDEX(Production[Input 2],MATCH(IslandModel[[#This Row],[Building]],Production[Building],0)),"")</f>
        <v/>
      </c>
      <c r="AT59" s="78"/>
      <c r="AU59"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59"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59"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59" s="35" t="str">
        <f>IFERROR(INDEX(Production[Input 3],MATCH(IslandModel[[#This Row],[Building]],Production[Building],0)),"")</f>
        <v/>
      </c>
      <c r="AY59" s="78"/>
      <c r="AZ59"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59"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59"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59" s="35" t="str">
        <f>IFERROR(INDEX(Production[Input 4],MATCH(IslandModel[[#This Row],[Building]],Production[Building],0)),"")</f>
        <v/>
      </c>
      <c r="BD59" s="78"/>
      <c r="BE59"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59"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59"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59" s="35" t="str">
        <f>IFERROR(INDEX(Production[Input 5],MATCH(IslandModel[[#This Row],[Building]],Production[Building],0)),"")</f>
        <v/>
      </c>
      <c r="BI59" s="78"/>
      <c r="BJ59"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59"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59"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59" s="35" t="str">
        <f>IFERROR(INDEX(Production[Input 6],MATCH(IslandModel[[#This Row],[Building]],Production[Building],0)),"")</f>
        <v/>
      </c>
      <c r="BN59" s="78"/>
      <c r="BO59"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59"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59"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59" s="35" t="str">
        <f>IFERROR(INDEX(Production[Input 7],MATCH(IslandModel[[#This Row],[Building]],Production[Building],0)),"")</f>
        <v/>
      </c>
      <c r="BS59" s="78"/>
      <c r="BT59"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59"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59"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59" s="35" t="str">
        <f>IFERROR(INDEX(Production[Input 8],MATCH(IslandModel[[#This Row],[Building]],Production[Building],0)),"")</f>
        <v/>
      </c>
      <c r="BX59" s="78"/>
      <c r="BY59"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59"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59"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59" s="35" t="str">
        <f>IFERROR(INDEX(Production[Input 9],MATCH(IslandModel[[#This Row],[Building]],Production[Building],0)),"")</f>
        <v/>
      </c>
      <c r="CC59" s="78"/>
      <c r="CD59"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59"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59"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59" s="35" t="str">
        <f>IFERROR(INDEX(Production[Input 10],MATCH(IslandModel[[#This Row],[Building]],Production[Building],0)),"")</f>
        <v/>
      </c>
      <c r="CH59" s="78"/>
      <c r="CI59"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59"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59"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59"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59" s="82" t="str">
        <f>IslandModel[[#This Row],[Resource Produced]]</f>
        <v/>
      </c>
      <c r="CN59" s="42">
        <f>IslandModel[[#This Row],[Amount produced/h]]</f>
        <v>0</v>
      </c>
      <c r="CO59" s="42" t="str">
        <f>IslandModel[[#This Row],[Input 1]]</f>
        <v/>
      </c>
      <c r="CP59" s="42">
        <f>-IslandModel[[#This Row],[Input 1 Consumed]]</f>
        <v>0</v>
      </c>
      <c r="CQ59" s="42" t="str">
        <f>IslandModel[[#This Row],[Input 2]]</f>
        <v/>
      </c>
      <c r="CR59" s="42">
        <f>-IslandModel[[#This Row],[Input 2 Consumed]]</f>
        <v>0</v>
      </c>
      <c r="CS59" s="42" t="str">
        <f>IslandModel[[#This Row],[Input 3]]</f>
        <v/>
      </c>
      <c r="CT59" s="42">
        <f>-IslandModel[[#This Row],[Input 3 Consumed]]</f>
        <v>0</v>
      </c>
      <c r="CU59" s="42" t="str">
        <f>IslandModel[[#This Row],[Input 4]]</f>
        <v/>
      </c>
      <c r="CV59" s="42">
        <f>-IslandModel[[#This Row],[Input 4 Consumed]]</f>
        <v>0</v>
      </c>
      <c r="CW59" s="42" t="str">
        <f>IslandModel[[#This Row],[Input 5]]</f>
        <v/>
      </c>
      <c r="CX59" s="42">
        <f>-IslandModel[[#This Row],[Input 5 Consumed]]</f>
        <v>0</v>
      </c>
      <c r="CY59" s="42" t="str">
        <f>IslandModel[[#This Row],[Input 6]]</f>
        <v/>
      </c>
      <c r="CZ59" s="42">
        <f>-IslandModel[[#This Row],[Input 6 Consumed]]</f>
        <v>0</v>
      </c>
      <c r="DA59" s="42" t="str">
        <f>IslandModel[[#This Row],[Input 7]]</f>
        <v/>
      </c>
      <c r="DB59" s="42">
        <f>-IslandModel[[#This Row],[Input 7 Consumed]]</f>
        <v>0</v>
      </c>
      <c r="DC59" s="42" t="str">
        <f>IslandModel[[#This Row],[Input 8]]</f>
        <v/>
      </c>
      <c r="DD59" s="42">
        <f>-IslandModel[[#This Row],[Input 8 Consumed]]</f>
        <v>0</v>
      </c>
      <c r="DE59" s="42" t="str">
        <f>IslandModel[[#This Row],[Input 9]]</f>
        <v/>
      </c>
      <c r="DF59" s="42">
        <f>-IslandModel[[#This Row],[Input 9 Consumed]]</f>
        <v>0</v>
      </c>
      <c r="DG59" s="42" t="str">
        <f>IslandModel[[#This Row],[Input 10]]</f>
        <v/>
      </c>
      <c r="DH59" s="42">
        <f>-IslandModel[[#This Row],[Input 10 Consumed]]</f>
        <v>0</v>
      </c>
      <c r="DJ59" t="s">
        <v>63</v>
      </c>
      <c r="DK59" s="39">
        <f>SUM(SUMIFS(IslandModel[Resource 1 Qty],IslandModel[Resource 1],ResourceAvailable[[#This Row],[Resource]]))</f>
        <v>0</v>
      </c>
      <c r="DL59"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59" s="39">
        <f>ResourceAvailable[[#This Row],[Amount Produced]]-ResourceAvailable[[#This Row],[Amount Consumed]]</f>
        <v>0</v>
      </c>
      <c r="DN59" s="20">
        <f>MAX(0,ResourceAvailable[[#This Row],[Amount Available for Resident Consumption]]-SUMIFS(ConsumptionModel[Resource Demand],ConsumptionModel[Resource],ResourceAvailable[[#This Row],[Resource]]))</f>
        <v>0</v>
      </c>
    </row>
    <row r="60" spans="2:118" ht="21" x14ac:dyDescent="0.65">
      <c r="B60" s="178">
        <f>ROW()</f>
        <v>60</v>
      </c>
      <c r="C60" s="70">
        <f>INDEX(ConsumptionModelInputs[Quantity],MATCH(ConsumptionModel[[#This Row],[Building]],ConsumptionModelInputs[Building],0))</f>
        <v>34</v>
      </c>
      <c r="D60" s="179" t="s">
        <v>59</v>
      </c>
      <c r="E60" s="179" t="s">
        <v>332</v>
      </c>
      <c r="F60" s="64" t="str">
        <f>IF(OR(ISBLANK(ConsumptionModel[[#This Row],[Building]]),ISBLANK(ConsumptionModel[[#This Row],[Resource]]))," - ",INDEX(Consumption[Type],MATCH(ConsumptionModel[[#This Row],[LookupValue]],Consumption[LookupValue],0)))</f>
        <v>Need</v>
      </c>
      <c r="G60" s="61" t="str">
        <f>IF(OR(ISBLANK(ConsumptionModel[[#This Row],[Building]]),ISBLANK(ConsumptionModel[[#This Row],[Resource]]))," - ",ConsumptionModel[[#This Row],[Building]]&amp;" - "&amp;ConsumptionModel[[#This Row],[Resource]])</f>
        <v>Paragon's Residence - Education</v>
      </c>
      <c r="H60" s="62">
        <f>ConsumptionModel[[#This Row],[Quantity]]*INDEX(Consumption[Consumption/person/h],MATCH(ConsumptionModel[[#This Row],[LookupValue]],Consumption[LookupValue],0))*IFERROR(INDEX(ResidentBuildings[Residents],MATCH(ConsumptionModel[[#This Row],[Building]],ResidentBuildings[Building],0)),0)</f>
        <v>0</v>
      </c>
      <c r="I60"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60" s="65">
        <f>IF(ConsumptionModel[[#This Row],[Quantity]]=0,"",IF(AND(ConsumptionModel[[#This Row],[Resource Demand]]=0,ConsumptionModel[[#This Row],[Resource Available]]&gt;0),1,MIN(1,IFERROR(ConsumptionModel[[#This Row],[Resource Available]]/ConsumptionModel[[#This Row],[Resource Demand]],0))))</f>
        <v>0</v>
      </c>
      <c r="K60"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60" s="197"/>
      <c r="P60" s="71">
        <f>SUMIFS(ResourceAvailable[Amount Produced],ResourceAvailable[Resource],ResourceMonitor[[#This Row],[Resource]])</f>
        <v>0</v>
      </c>
      <c r="Q60" s="71">
        <f>SUMIFS(ResourceAvailable[Amount Consumed],ResourceAvailable[Resource],ResourceMonitor[[#This Row],[Resource]])</f>
        <v>0</v>
      </c>
      <c r="R60" s="71">
        <f>SUMIFS(ResourceAvailable[Amount Available for Resident Consumption],ResourceAvailable[Resource],ResourceMonitor[[#This Row],[Resource]])</f>
        <v>0</v>
      </c>
      <c r="S60" s="39">
        <f>MAX(0,ResourceMonitor[[#This Row],[Amount Available for Resident Consumption]]-SUMIFS(ConsumptionModel[Resource Demand],ConsumptionModel[Resource],ResourceMonitor[[#This Row],[Resource]]))</f>
        <v>0</v>
      </c>
      <c r="T60" s="39">
        <f>MIN(0,ResourceMonitor[[#This Row],[Amount Available for Resident Consumption]]-SUMIFS(ConsumptionModel[Resource Demand],ConsumptionModel[Resource],ResourceMonitor[[#This Row],[Resource]]))</f>
        <v>0</v>
      </c>
      <c r="U60" s="122">
        <f>IFERROR(INDEX(#REF!,MATCH(ResourceMonitor[[#This Row],[Resource]],#REF!,0)),0)</f>
        <v>0</v>
      </c>
      <c r="V60" s="194">
        <f>IFERROR(ResourceMonitor[[#This Row],[Amount Produced]]/ResourceMonitor[[#This Row],[Production Target]],0)</f>
        <v>0</v>
      </c>
      <c r="W60" s="133"/>
      <c r="X60" s="47">
        <f>IF(ResourceMonitor[[#This Row],[Ignore shipping needs?]]="Yes",0,ROUNDUP(ResourceMonitor[[#This Row],[Production Target]]/INDEX(ShipRequirementCalculator[Cargo capacity/h (return, 50% empty)],MATCH($X$15,ShipRequirementCalculator[Ship],0)),0))</f>
        <v>0</v>
      </c>
      <c r="Y60" s="47">
        <f>IF(ResourceMonitor[[#This Row],[Ignore shipping needs?]]="Yes",0,ROUNDUP(ResourceMonitor[[#This Row],[Production Target]]/INDEX(ShipRequirementCalculator[Cargo capacity/h (return, 50% empty)],MATCH($Y$15,ShipRequirementCalculator[Ship],0)),0))</f>
        <v>0</v>
      </c>
      <c r="Z60" s="47">
        <f>IF(ResourceMonitor[[#This Row],[Ignore shipping needs?]]="Yes",0,ROUNDUP(ResourceMonitor[[#This Row],[Production Target]]/INDEX(ShipRequirementCalculator[Cargo capacity/h (return, 50% empty)],MATCH($Z$15,ShipRequirementCalculator[Ship],0)),0))</f>
        <v>0</v>
      </c>
      <c r="AA60" s="124"/>
      <c r="AD60" s="83">
        <f>ROW()</f>
        <v>60</v>
      </c>
      <c r="AE60" s="106"/>
      <c r="AF60" s="72"/>
      <c r="AG60" s="18"/>
      <c r="AH60" s="18"/>
      <c r="AI60" s="156">
        <f>IFERROR(IslandModel[[#This Row],[Quantity]]/IslandModel[[#This Row],[Target Quantity]],0)</f>
        <v>0</v>
      </c>
      <c r="AJ60" s="61" t="str">
        <f>IFERROR(INDEX(Production[Resource Produced],MATCH(IslandModel[[#This Row],[Building]],Production[Building],0)),"")</f>
        <v/>
      </c>
      <c r="AK60" s="99">
        <f>IFERROR(IslandModel[[#This Row],[Quantity]]*INDEX(Production[Production in 1h],MATCH(IslandModel[[#This Row],[Building]],Production[Building],0))*IslandModel[[#This Row],[Input Consumption Multiplier]],0)</f>
        <v>0</v>
      </c>
      <c r="AL60" s="115">
        <f>100%</f>
        <v>1</v>
      </c>
      <c r="AM60"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60" s="77" t="str">
        <f>IFERROR(INDEX(Production[Input 1],MATCH(IslandModel[[#This Row],[Building]],Production[Building],0)),"")</f>
        <v/>
      </c>
      <c r="AO60" s="78"/>
      <c r="AP60"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60"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60"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60" s="35" t="str">
        <f>IFERROR(INDEX(Production[Input 2],MATCH(IslandModel[[#This Row],[Building]],Production[Building],0)),"")</f>
        <v/>
      </c>
      <c r="AT60" s="78"/>
      <c r="AU60"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60"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60"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60" s="35" t="str">
        <f>IFERROR(INDEX(Production[Input 3],MATCH(IslandModel[[#This Row],[Building]],Production[Building],0)),"")</f>
        <v/>
      </c>
      <c r="AY60" s="78"/>
      <c r="AZ60"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60"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60"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60" s="35" t="str">
        <f>IFERROR(INDEX(Production[Input 4],MATCH(IslandModel[[#This Row],[Building]],Production[Building],0)),"")</f>
        <v/>
      </c>
      <c r="BD60" s="78"/>
      <c r="BE60"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60"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60"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60" s="35" t="str">
        <f>IFERROR(INDEX(Production[Input 5],MATCH(IslandModel[[#This Row],[Building]],Production[Building],0)),"")</f>
        <v/>
      </c>
      <c r="BI60" s="78"/>
      <c r="BJ60"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60"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60"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60" s="35" t="str">
        <f>IFERROR(INDEX(Production[Input 6],MATCH(IslandModel[[#This Row],[Building]],Production[Building],0)),"")</f>
        <v/>
      </c>
      <c r="BN60" s="78"/>
      <c r="BO60"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60"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60"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60" s="35" t="str">
        <f>IFERROR(INDEX(Production[Input 7],MATCH(IslandModel[[#This Row],[Building]],Production[Building],0)),"")</f>
        <v/>
      </c>
      <c r="BS60" s="78"/>
      <c r="BT60"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60"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60"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60" s="35" t="str">
        <f>IFERROR(INDEX(Production[Input 8],MATCH(IslandModel[[#This Row],[Building]],Production[Building],0)),"")</f>
        <v/>
      </c>
      <c r="BX60" s="78"/>
      <c r="BY60"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60"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60"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60" s="35" t="str">
        <f>IFERROR(INDEX(Production[Input 9],MATCH(IslandModel[[#This Row],[Building]],Production[Building],0)),"")</f>
        <v/>
      </c>
      <c r="CC60" s="78"/>
      <c r="CD60"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60"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60"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60" s="35" t="str">
        <f>IFERROR(INDEX(Production[Input 10],MATCH(IslandModel[[#This Row],[Building]],Production[Building],0)),"")</f>
        <v/>
      </c>
      <c r="CH60" s="78"/>
      <c r="CI60"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60"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60"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60"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60" s="82" t="str">
        <f>IslandModel[[#This Row],[Resource Produced]]</f>
        <v/>
      </c>
      <c r="CN60" s="42">
        <f>IslandModel[[#This Row],[Amount produced/h]]</f>
        <v>0</v>
      </c>
      <c r="CO60" s="42" t="str">
        <f>IslandModel[[#This Row],[Input 1]]</f>
        <v/>
      </c>
      <c r="CP60" s="42">
        <f>-IslandModel[[#This Row],[Input 1 Consumed]]</f>
        <v>0</v>
      </c>
      <c r="CQ60" s="42" t="str">
        <f>IslandModel[[#This Row],[Input 2]]</f>
        <v/>
      </c>
      <c r="CR60" s="42">
        <f>-IslandModel[[#This Row],[Input 2 Consumed]]</f>
        <v>0</v>
      </c>
      <c r="CS60" s="42" t="str">
        <f>IslandModel[[#This Row],[Input 3]]</f>
        <v/>
      </c>
      <c r="CT60" s="42">
        <f>-IslandModel[[#This Row],[Input 3 Consumed]]</f>
        <v>0</v>
      </c>
      <c r="CU60" s="42" t="str">
        <f>IslandModel[[#This Row],[Input 4]]</f>
        <v/>
      </c>
      <c r="CV60" s="42">
        <f>-IslandModel[[#This Row],[Input 4 Consumed]]</f>
        <v>0</v>
      </c>
      <c r="CW60" s="42" t="str">
        <f>IslandModel[[#This Row],[Input 5]]</f>
        <v/>
      </c>
      <c r="CX60" s="42">
        <f>-IslandModel[[#This Row],[Input 5 Consumed]]</f>
        <v>0</v>
      </c>
      <c r="CY60" s="42" t="str">
        <f>IslandModel[[#This Row],[Input 6]]</f>
        <v/>
      </c>
      <c r="CZ60" s="42">
        <f>-IslandModel[[#This Row],[Input 6 Consumed]]</f>
        <v>0</v>
      </c>
      <c r="DA60" s="42" t="str">
        <f>IslandModel[[#This Row],[Input 7]]</f>
        <v/>
      </c>
      <c r="DB60" s="42">
        <f>-IslandModel[[#This Row],[Input 7 Consumed]]</f>
        <v>0</v>
      </c>
      <c r="DC60" s="42" t="str">
        <f>IslandModel[[#This Row],[Input 8]]</f>
        <v/>
      </c>
      <c r="DD60" s="42">
        <f>-IslandModel[[#This Row],[Input 8 Consumed]]</f>
        <v>0</v>
      </c>
      <c r="DE60" s="42" t="str">
        <f>IslandModel[[#This Row],[Input 9]]</f>
        <v/>
      </c>
      <c r="DF60" s="42">
        <f>-IslandModel[[#This Row],[Input 9 Consumed]]</f>
        <v>0</v>
      </c>
      <c r="DG60" s="42" t="str">
        <f>IslandModel[[#This Row],[Input 10]]</f>
        <v/>
      </c>
      <c r="DH60" s="42">
        <f>-IslandModel[[#This Row],[Input 10 Consumed]]</f>
        <v>0</v>
      </c>
      <c r="DJ60" t="s">
        <v>105</v>
      </c>
      <c r="DK60" s="39">
        <f>SUM(SUMIFS(IslandModel[Resource 1 Qty],IslandModel[Resource 1],ResourceAvailable[[#This Row],[Resource]]))</f>
        <v>0</v>
      </c>
      <c r="DL60"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60" s="39">
        <f>ResourceAvailable[[#This Row],[Amount Produced]]-ResourceAvailable[[#This Row],[Amount Consumed]]</f>
        <v>0</v>
      </c>
      <c r="DN60" s="20">
        <f>MAX(0,ResourceAvailable[[#This Row],[Amount Available for Resident Consumption]]-SUMIFS(ConsumptionModel[Resource Demand],ConsumptionModel[Resource],ResourceAvailable[[#This Row],[Resource]]))</f>
        <v>0</v>
      </c>
    </row>
    <row r="61" spans="2:118" ht="21" x14ac:dyDescent="0.65">
      <c r="B61" s="178">
        <f>ROW()</f>
        <v>61</v>
      </c>
      <c r="C61" s="70">
        <f>INDEX(ConsumptionModelInputs[Quantity],MATCH(ConsumptionModel[[#This Row],[Building]],ConsumptionModelInputs[Building],0))</f>
        <v>34</v>
      </c>
      <c r="D61" s="179" t="s">
        <v>59</v>
      </c>
      <c r="E61" s="179" t="s">
        <v>152</v>
      </c>
      <c r="F61" s="64" t="str">
        <f>IF(OR(ISBLANK(ConsumptionModel[[#This Row],[Building]]),ISBLANK(ConsumptionModel[[#This Row],[Resource]]))," - ",INDEX(Consumption[Type],MATCH(ConsumptionModel[[#This Row],[LookupValue]],Consumption[LookupValue],0)))</f>
        <v>Need</v>
      </c>
      <c r="G61" s="61" t="str">
        <f>IF(OR(ISBLANK(ConsumptionModel[[#This Row],[Building]]),ISBLANK(ConsumptionModel[[#This Row],[Resource]]))," - ",ConsumptionModel[[#This Row],[Building]]&amp;" - "&amp;ConsumptionModel[[#This Row],[Resource]])</f>
        <v>Paragon's Residence - Medical Care</v>
      </c>
      <c r="H61" s="62">
        <f>ConsumptionModel[[#This Row],[Quantity]]*INDEX(Consumption[Consumption/person/h],MATCH(ConsumptionModel[[#This Row],[LookupValue]],Consumption[LookupValue],0))*IFERROR(INDEX(ResidentBuildings[Residents],MATCH(ConsumptionModel[[#This Row],[Building]],ResidentBuildings[Building],0)),0)</f>
        <v>0</v>
      </c>
      <c r="I61"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61" s="65">
        <f>IF(ConsumptionModel[[#This Row],[Quantity]]=0,"",IF(AND(ConsumptionModel[[#This Row],[Resource Demand]]=0,ConsumptionModel[[#This Row],[Resource Available]]&gt;0),1,MIN(1,IFERROR(ConsumptionModel[[#This Row],[Resource Available]]/ConsumptionModel[[#This Row],[Resource Demand]],0))))</f>
        <v>0</v>
      </c>
      <c r="K61"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61" s="197"/>
      <c r="P61" s="71">
        <f>SUMIFS(ResourceAvailable[Amount Produced],ResourceAvailable[Resource],ResourceMonitor[[#This Row],[Resource]])</f>
        <v>0</v>
      </c>
      <c r="Q61" s="71">
        <f>SUMIFS(ResourceAvailable[Amount Consumed],ResourceAvailable[Resource],ResourceMonitor[[#This Row],[Resource]])</f>
        <v>0</v>
      </c>
      <c r="R61" s="71">
        <f>SUMIFS(ResourceAvailable[Amount Available for Resident Consumption],ResourceAvailable[Resource],ResourceMonitor[[#This Row],[Resource]])</f>
        <v>0</v>
      </c>
      <c r="S61" s="39">
        <f>MAX(0,ResourceMonitor[[#This Row],[Amount Available for Resident Consumption]]-SUMIFS(ConsumptionModel[Resource Demand],ConsumptionModel[Resource],ResourceMonitor[[#This Row],[Resource]]))</f>
        <v>0</v>
      </c>
      <c r="T61" s="39">
        <f>MIN(0,ResourceMonitor[[#This Row],[Amount Available for Resident Consumption]]-SUMIFS(ConsumptionModel[Resource Demand],ConsumptionModel[Resource],ResourceMonitor[[#This Row],[Resource]]))</f>
        <v>0</v>
      </c>
      <c r="U61" s="122">
        <f>IFERROR(INDEX(#REF!,MATCH(ResourceMonitor[[#This Row],[Resource]],#REF!,0)),0)</f>
        <v>0</v>
      </c>
      <c r="V61" s="194">
        <f>IFERROR(ResourceMonitor[[#This Row],[Amount Produced]]/ResourceMonitor[[#This Row],[Production Target]],0)</f>
        <v>0</v>
      </c>
      <c r="W61" s="133"/>
      <c r="X61" s="47">
        <f>IF(ResourceMonitor[[#This Row],[Ignore shipping needs?]]="Yes",0,ROUNDUP(ResourceMonitor[[#This Row],[Production Target]]/INDEX(ShipRequirementCalculator[Cargo capacity/h (return, 50% empty)],MATCH($X$15,ShipRequirementCalculator[Ship],0)),0))</f>
        <v>0</v>
      </c>
      <c r="Y61" s="47">
        <f>IF(ResourceMonitor[[#This Row],[Ignore shipping needs?]]="Yes",0,ROUNDUP(ResourceMonitor[[#This Row],[Production Target]]/INDEX(ShipRequirementCalculator[Cargo capacity/h (return, 50% empty)],MATCH($Y$15,ShipRequirementCalculator[Ship],0)),0))</f>
        <v>0</v>
      </c>
      <c r="Z61" s="47">
        <f>IF(ResourceMonitor[[#This Row],[Ignore shipping needs?]]="Yes",0,ROUNDUP(ResourceMonitor[[#This Row],[Production Target]]/INDEX(ShipRequirementCalculator[Cargo capacity/h (return, 50% empty)],MATCH($Z$15,ShipRequirementCalculator[Ship],0)),0))</f>
        <v>0</v>
      </c>
      <c r="AA61" s="124"/>
      <c r="AD61" s="83">
        <f>ROW()</f>
        <v>61</v>
      </c>
      <c r="AE61" s="106"/>
      <c r="AF61" s="72"/>
      <c r="AG61" s="18"/>
      <c r="AH61" s="18"/>
      <c r="AI61" s="156">
        <f>IFERROR(IslandModel[[#This Row],[Quantity]]/IslandModel[[#This Row],[Target Quantity]],0)</f>
        <v>0</v>
      </c>
      <c r="AJ61" s="61" t="str">
        <f>IFERROR(INDEX(Production[Resource Produced],MATCH(IslandModel[[#This Row],[Building]],Production[Building],0)),"")</f>
        <v/>
      </c>
      <c r="AK61" s="99">
        <f>IFERROR(IslandModel[[#This Row],[Quantity]]*INDEX(Production[Production in 1h],MATCH(IslandModel[[#This Row],[Building]],Production[Building],0))*IslandModel[[#This Row],[Input Consumption Multiplier]],0)</f>
        <v>0</v>
      </c>
      <c r="AL61" s="115">
        <v>0</v>
      </c>
      <c r="AM61"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61" s="77" t="str">
        <f>IFERROR(INDEX(Production[Input 1],MATCH(IslandModel[[#This Row],[Building]],Production[Building],0)),"")</f>
        <v/>
      </c>
      <c r="AO61" s="78"/>
      <c r="AP61"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61"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61"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61" s="35" t="str">
        <f>IFERROR(INDEX(Production[Input 2],MATCH(IslandModel[[#This Row],[Building]],Production[Building],0)),"")</f>
        <v/>
      </c>
      <c r="AT61" s="78"/>
      <c r="AU61"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61"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61"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61" s="35" t="str">
        <f>IFERROR(INDEX(Production[Input 3],MATCH(IslandModel[[#This Row],[Building]],Production[Building],0)),"")</f>
        <v/>
      </c>
      <c r="AY61" s="78"/>
      <c r="AZ61"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61"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61"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61" s="35" t="str">
        <f>IFERROR(INDEX(Production[Input 4],MATCH(IslandModel[[#This Row],[Building]],Production[Building],0)),"")</f>
        <v/>
      </c>
      <c r="BD61" s="78"/>
      <c r="BE61"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61"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61"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61" s="35" t="str">
        <f>IFERROR(INDEX(Production[Input 5],MATCH(IslandModel[[#This Row],[Building]],Production[Building],0)),"")</f>
        <v/>
      </c>
      <c r="BI61" s="78"/>
      <c r="BJ61"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61"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61"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61" s="35" t="str">
        <f>IFERROR(INDEX(Production[Input 6],MATCH(IslandModel[[#This Row],[Building]],Production[Building],0)),"")</f>
        <v/>
      </c>
      <c r="BN61" s="78"/>
      <c r="BO61"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61"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61"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61" s="35" t="str">
        <f>IFERROR(INDEX(Production[Input 7],MATCH(IslandModel[[#This Row],[Building]],Production[Building],0)),"")</f>
        <v/>
      </c>
      <c r="BS61" s="78"/>
      <c r="BT61"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61"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61"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61" s="35" t="str">
        <f>IFERROR(INDEX(Production[Input 8],MATCH(IslandModel[[#This Row],[Building]],Production[Building],0)),"")</f>
        <v/>
      </c>
      <c r="BX61" s="78"/>
      <c r="BY61"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61"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61"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61" s="35" t="str">
        <f>IFERROR(INDEX(Production[Input 9],MATCH(IslandModel[[#This Row],[Building]],Production[Building],0)),"")</f>
        <v/>
      </c>
      <c r="CC61" s="78"/>
      <c r="CD61"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61"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61"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61" s="35" t="str">
        <f>IFERROR(INDEX(Production[Input 10],MATCH(IslandModel[[#This Row],[Building]],Production[Building],0)),"")</f>
        <v/>
      </c>
      <c r="CH61" s="78"/>
      <c r="CI61"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61"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61"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61"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0</v>
      </c>
      <c r="CM61" s="82" t="str">
        <f>IslandModel[[#This Row],[Resource Produced]]</f>
        <v/>
      </c>
      <c r="CN61" s="42">
        <f>IslandModel[[#This Row],[Amount produced/h]]</f>
        <v>0</v>
      </c>
      <c r="CO61" s="42" t="str">
        <f>IslandModel[[#This Row],[Input 1]]</f>
        <v/>
      </c>
      <c r="CP61" s="42">
        <f>-IslandModel[[#This Row],[Input 1 Consumed]]</f>
        <v>0</v>
      </c>
      <c r="CQ61" s="42" t="str">
        <f>IslandModel[[#This Row],[Input 2]]</f>
        <v/>
      </c>
      <c r="CR61" s="42">
        <f>-IslandModel[[#This Row],[Input 2 Consumed]]</f>
        <v>0</v>
      </c>
      <c r="CS61" s="42" t="str">
        <f>IslandModel[[#This Row],[Input 3]]</f>
        <v/>
      </c>
      <c r="CT61" s="42">
        <f>-IslandModel[[#This Row],[Input 3 Consumed]]</f>
        <v>0</v>
      </c>
      <c r="CU61" s="42" t="str">
        <f>IslandModel[[#This Row],[Input 4]]</f>
        <v/>
      </c>
      <c r="CV61" s="42">
        <f>-IslandModel[[#This Row],[Input 4 Consumed]]</f>
        <v>0</v>
      </c>
      <c r="CW61" s="42" t="str">
        <f>IslandModel[[#This Row],[Input 5]]</f>
        <v/>
      </c>
      <c r="CX61" s="42">
        <f>-IslandModel[[#This Row],[Input 5 Consumed]]</f>
        <v>0</v>
      </c>
      <c r="CY61" s="42" t="str">
        <f>IslandModel[[#This Row],[Input 6]]</f>
        <v/>
      </c>
      <c r="CZ61" s="42">
        <f>-IslandModel[[#This Row],[Input 6 Consumed]]</f>
        <v>0</v>
      </c>
      <c r="DA61" s="42" t="str">
        <f>IslandModel[[#This Row],[Input 7]]</f>
        <v/>
      </c>
      <c r="DB61" s="42">
        <f>-IslandModel[[#This Row],[Input 7 Consumed]]</f>
        <v>0</v>
      </c>
      <c r="DC61" s="42" t="str">
        <f>IslandModel[[#This Row],[Input 8]]</f>
        <v/>
      </c>
      <c r="DD61" s="42">
        <f>-IslandModel[[#This Row],[Input 8 Consumed]]</f>
        <v>0</v>
      </c>
      <c r="DE61" s="42" t="str">
        <f>IslandModel[[#This Row],[Input 9]]</f>
        <v/>
      </c>
      <c r="DF61" s="42">
        <f>-IslandModel[[#This Row],[Input 9 Consumed]]</f>
        <v>0</v>
      </c>
      <c r="DG61" s="42" t="str">
        <f>IslandModel[[#This Row],[Input 10]]</f>
        <v/>
      </c>
      <c r="DH61" s="42">
        <f>-IslandModel[[#This Row],[Input 10 Consumed]]</f>
        <v>0</v>
      </c>
      <c r="DJ61" s="55" t="s">
        <v>393</v>
      </c>
      <c r="DK61" s="39">
        <f>SUM(SUMIFS(IslandModel[Resource 1 Qty],IslandModel[Resource 1],ResourceAvailable[[#This Row],[Resource]]))</f>
        <v>0</v>
      </c>
      <c r="DL61"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61" s="39">
        <f>ResourceAvailable[[#This Row],[Amount Produced]]-ResourceAvailable[[#This Row],[Amount Consumed]]</f>
        <v>0</v>
      </c>
      <c r="DN61" s="20">
        <f>MAX(0,ResourceAvailable[[#This Row],[Amount Available for Resident Consumption]]-SUMIFS(ConsumptionModel[Resource Demand],ConsumptionModel[Resource],ResourceAvailable[[#This Row],[Resource]]))</f>
        <v>0</v>
      </c>
    </row>
    <row r="62" spans="2:118" ht="21" x14ac:dyDescent="0.65">
      <c r="B62" s="178">
        <f>ROW()</f>
        <v>62</v>
      </c>
      <c r="C62" s="70">
        <f>INDEX(ConsumptionModelInputs[Quantity],MATCH(ConsumptionModel[[#This Row],[Building]],ConsumptionModelInputs[Building],0))</f>
        <v>34</v>
      </c>
      <c r="D62" s="179" t="s">
        <v>59</v>
      </c>
      <c r="E62" s="179" t="s">
        <v>337</v>
      </c>
      <c r="F62" s="64" t="str">
        <f>IF(OR(ISBLANK(ConsumptionModel[[#This Row],[Building]]),ISBLANK(ConsumptionModel[[#This Row],[Resource]]))," - ",INDEX(Consumption[Type],MATCH(ConsumptionModel[[#This Row],[LookupValue]],Consumption[LookupValue],0)))</f>
        <v>Need</v>
      </c>
      <c r="G62" s="61" t="str">
        <f>IF(OR(ISBLANK(ConsumptionModel[[#This Row],[Building]]),ISBLANK(ConsumptionModel[[#This Row],[Resource]]))," - ",ConsumptionModel[[#This Row],[Building]]&amp;" - "&amp;ConsumptionModel[[#This Row],[Resource]])</f>
        <v>Paragon's Residence - Hygiene</v>
      </c>
      <c r="H62" s="62">
        <f>ConsumptionModel[[#This Row],[Quantity]]*INDEX(Consumption[Consumption/person/h],MATCH(ConsumptionModel[[#This Row],[LookupValue]],Consumption[LookupValue],0))*IFERROR(INDEX(ResidentBuildings[Residents],MATCH(ConsumptionModel[[#This Row],[Building]],ResidentBuildings[Building],0)),0)</f>
        <v>0</v>
      </c>
      <c r="I62"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62" s="65">
        <f>IF(ConsumptionModel[[#This Row],[Quantity]]=0,"",IF(AND(ConsumptionModel[[#This Row],[Resource Demand]]=0,ConsumptionModel[[#This Row],[Resource Available]]&gt;0),1,MIN(1,IFERROR(ConsumptionModel[[#This Row],[Resource Available]]/ConsumptionModel[[#This Row],[Resource Demand]],0))))</f>
        <v>0</v>
      </c>
      <c r="K62"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62" s="197"/>
      <c r="P62" s="71">
        <f>SUMIFS(ResourceAvailable[Amount Produced],ResourceAvailable[Resource],ResourceMonitor[[#This Row],[Resource]])</f>
        <v>0</v>
      </c>
      <c r="Q62" s="71">
        <f>SUMIFS(ResourceAvailable[Amount Consumed],ResourceAvailable[Resource],ResourceMonitor[[#This Row],[Resource]])</f>
        <v>0</v>
      </c>
      <c r="R62" s="71">
        <f>SUMIFS(ResourceAvailable[Amount Available for Resident Consumption],ResourceAvailable[Resource],ResourceMonitor[[#This Row],[Resource]])</f>
        <v>0</v>
      </c>
      <c r="S62" s="39">
        <f>MAX(0,ResourceMonitor[[#This Row],[Amount Available for Resident Consumption]]-SUMIFS(ConsumptionModel[Resource Demand],ConsumptionModel[Resource],ResourceMonitor[[#This Row],[Resource]]))</f>
        <v>0</v>
      </c>
      <c r="T62" s="39">
        <f>MIN(0,ResourceMonitor[[#This Row],[Amount Available for Resident Consumption]]-SUMIFS(ConsumptionModel[Resource Demand],ConsumptionModel[Resource],ResourceMonitor[[#This Row],[Resource]]))</f>
        <v>0</v>
      </c>
      <c r="U62" s="122">
        <f>IFERROR(INDEX(#REF!,MATCH(ResourceMonitor[[#This Row],[Resource]],#REF!,0)),0)</f>
        <v>0</v>
      </c>
      <c r="V62" s="194">
        <f>IFERROR(ResourceMonitor[[#This Row],[Amount Produced]]/ResourceMonitor[[#This Row],[Production Target]],0)</f>
        <v>0</v>
      </c>
      <c r="W62" s="133"/>
      <c r="X62" s="47">
        <f>IF(ResourceMonitor[[#This Row],[Ignore shipping needs?]]="Yes",0,ROUNDUP(ResourceMonitor[[#This Row],[Production Target]]/INDEX(ShipRequirementCalculator[Cargo capacity/h (return, 50% empty)],MATCH($X$15,ShipRequirementCalculator[Ship],0)),0))</f>
        <v>0</v>
      </c>
      <c r="Y62" s="47">
        <f>IF(ResourceMonitor[[#This Row],[Ignore shipping needs?]]="Yes",0,ROUNDUP(ResourceMonitor[[#This Row],[Production Target]]/INDEX(ShipRequirementCalculator[Cargo capacity/h (return, 50% empty)],MATCH($Y$15,ShipRequirementCalculator[Ship],0)),0))</f>
        <v>0</v>
      </c>
      <c r="Z62" s="47">
        <f>IF(ResourceMonitor[[#This Row],[Ignore shipping needs?]]="Yes",0,ROUNDUP(ResourceMonitor[[#This Row],[Production Target]]/INDEX(ShipRequirementCalculator[Cargo capacity/h (return, 50% empty)],MATCH($Z$15,ShipRequirementCalculator[Ship],0)),0))</f>
        <v>0</v>
      </c>
      <c r="AA62" s="124"/>
      <c r="AD62" s="83">
        <f>ROW()</f>
        <v>62</v>
      </c>
      <c r="AE62" s="106"/>
      <c r="AF62" s="72"/>
      <c r="AG62" s="18"/>
      <c r="AH62" s="18"/>
      <c r="AI62" s="156">
        <f>IFERROR(IslandModel[[#This Row],[Quantity]]/IslandModel[[#This Row],[Target Quantity]],0)</f>
        <v>0</v>
      </c>
      <c r="AJ62" s="61" t="str">
        <f>IFERROR(INDEX(Production[Resource Produced],MATCH(IslandModel[[#This Row],[Building]],Production[Building],0)),"")</f>
        <v/>
      </c>
      <c r="AK62" s="99">
        <f>IFERROR(IslandModel[[#This Row],[Quantity]]*INDEX(Production[Production in 1h],MATCH(IslandModel[[#This Row],[Building]],Production[Building],0))*IslandModel[[#This Row],[Input Consumption Multiplier]],0)</f>
        <v>0</v>
      </c>
      <c r="AL62" s="115">
        <v>0</v>
      </c>
      <c r="AM62"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62" s="77" t="str">
        <f>IFERROR(INDEX(Production[Input 1],MATCH(IslandModel[[#This Row],[Building]],Production[Building],0)),"")</f>
        <v/>
      </c>
      <c r="AO62" s="78"/>
      <c r="AP62"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62"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62"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62" s="35" t="str">
        <f>IFERROR(INDEX(Production[Input 2],MATCH(IslandModel[[#This Row],[Building]],Production[Building],0)),"")</f>
        <v/>
      </c>
      <c r="AT62" s="78"/>
      <c r="AU62"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62"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62"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62" s="35" t="str">
        <f>IFERROR(INDEX(Production[Input 3],MATCH(IslandModel[[#This Row],[Building]],Production[Building],0)),"")</f>
        <v/>
      </c>
      <c r="AY62" s="78"/>
      <c r="AZ62"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62"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62"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62" s="35" t="str">
        <f>IFERROR(INDEX(Production[Input 4],MATCH(IslandModel[[#This Row],[Building]],Production[Building],0)),"")</f>
        <v/>
      </c>
      <c r="BD62" s="78"/>
      <c r="BE62"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62"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62"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62" s="35" t="str">
        <f>IFERROR(INDEX(Production[Input 5],MATCH(IslandModel[[#This Row],[Building]],Production[Building],0)),"")</f>
        <v/>
      </c>
      <c r="BI62" s="78"/>
      <c r="BJ62"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62"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62"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62" s="35" t="str">
        <f>IFERROR(INDEX(Production[Input 6],MATCH(IslandModel[[#This Row],[Building]],Production[Building],0)),"")</f>
        <v/>
      </c>
      <c r="BN62" s="78"/>
      <c r="BO62"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62"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62"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62" s="35" t="str">
        <f>IFERROR(INDEX(Production[Input 7],MATCH(IslandModel[[#This Row],[Building]],Production[Building],0)),"")</f>
        <v/>
      </c>
      <c r="BS62" s="78"/>
      <c r="BT62"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62"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62"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62" s="35" t="str">
        <f>IFERROR(INDEX(Production[Input 8],MATCH(IslandModel[[#This Row],[Building]],Production[Building],0)),"")</f>
        <v/>
      </c>
      <c r="BX62" s="78"/>
      <c r="BY62"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62"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62"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62" s="35" t="str">
        <f>IFERROR(INDEX(Production[Input 9],MATCH(IslandModel[[#This Row],[Building]],Production[Building],0)),"")</f>
        <v/>
      </c>
      <c r="CC62" s="78"/>
      <c r="CD62"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62"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62"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62" s="35" t="str">
        <f>IFERROR(INDEX(Production[Input 10],MATCH(IslandModel[[#This Row],[Building]],Production[Building],0)),"")</f>
        <v/>
      </c>
      <c r="CH62" s="78"/>
      <c r="CI62"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62"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62"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62"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0</v>
      </c>
      <c r="CM62" s="82" t="str">
        <f>IslandModel[[#This Row],[Resource Produced]]</f>
        <v/>
      </c>
      <c r="CN62" s="42">
        <f>IslandModel[[#This Row],[Amount produced/h]]</f>
        <v>0</v>
      </c>
      <c r="CO62" s="42" t="str">
        <f>IslandModel[[#This Row],[Input 1]]</f>
        <v/>
      </c>
      <c r="CP62" s="42">
        <f>-IslandModel[[#This Row],[Input 1 Consumed]]</f>
        <v>0</v>
      </c>
      <c r="CQ62" s="42" t="str">
        <f>IslandModel[[#This Row],[Input 2]]</f>
        <v/>
      </c>
      <c r="CR62" s="42">
        <f>-IslandModel[[#This Row],[Input 2 Consumed]]</f>
        <v>0</v>
      </c>
      <c r="CS62" s="42" t="str">
        <f>IslandModel[[#This Row],[Input 3]]</f>
        <v/>
      </c>
      <c r="CT62" s="42">
        <f>-IslandModel[[#This Row],[Input 3 Consumed]]</f>
        <v>0</v>
      </c>
      <c r="CU62" s="42" t="str">
        <f>IslandModel[[#This Row],[Input 4]]</f>
        <v/>
      </c>
      <c r="CV62" s="42">
        <f>-IslandModel[[#This Row],[Input 4 Consumed]]</f>
        <v>0</v>
      </c>
      <c r="CW62" s="42" t="str">
        <f>IslandModel[[#This Row],[Input 5]]</f>
        <v/>
      </c>
      <c r="CX62" s="42">
        <f>-IslandModel[[#This Row],[Input 5 Consumed]]</f>
        <v>0</v>
      </c>
      <c r="CY62" s="42" t="str">
        <f>IslandModel[[#This Row],[Input 6]]</f>
        <v/>
      </c>
      <c r="CZ62" s="42">
        <f>-IslandModel[[#This Row],[Input 6 Consumed]]</f>
        <v>0</v>
      </c>
      <c r="DA62" s="42" t="str">
        <f>IslandModel[[#This Row],[Input 7]]</f>
        <v/>
      </c>
      <c r="DB62" s="42">
        <f>-IslandModel[[#This Row],[Input 7 Consumed]]</f>
        <v>0</v>
      </c>
      <c r="DC62" s="42" t="str">
        <f>IslandModel[[#This Row],[Input 8]]</f>
        <v/>
      </c>
      <c r="DD62" s="42">
        <f>-IslandModel[[#This Row],[Input 8 Consumed]]</f>
        <v>0</v>
      </c>
      <c r="DE62" s="42" t="str">
        <f>IslandModel[[#This Row],[Input 9]]</f>
        <v/>
      </c>
      <c r="DF62" s="42">
        <f>-IslandModel[[#This Row],[Input 9 Consumed]]</f>
        <v>0</v>
      </c>
      <c r="DG62" s="42" t="str">
        <f>IslandModel[[#This Row],[Input 10]]</f>
        <v/>
      </c>
      <c r="DH62" s="42">
        <f>-IslandModel[[#This Row],[Input 10 Consumed]]</f>
        <v>0</v>
      </c>
      <c r="DJ62" s="55" t="s">
        <v>81</v>
      </c>
      <c r="DK62" s="39">
        <f>SUM(SUMIFS(IslandModel[Resource 1 Qty],IslandModel[Resource 1],ResourceAvailable[[#This Row],[Resource]]))</f>
        <v>0</v>
      </c>
      <c r="DL62"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62" s="39">
        <f>ResourceAvailable[[#This Row],[Amount Produced]]-ResourceAvailable[[#This Row],[Amount Consumed]]</f>
        <v>0</v>
      </c>
      <c r="DN62" s="20">
        <f>MAX(0,ResourceAvailable[[#This Row],[Amount Available for Resident Consumption]]-SUMIFS(ConsumptionModel[Resource Demand],ConsumptionModel[Resource],ResourceAvailable[[#This Row],[Resource]]))</f>
        <v>0</v>
      </c>
    </row>
    <row r="63" spans="2:118" ht="21" x14ac:dyDescent="0.65">
      <c r="B63" s="178">
        <f>ROW()</f>
        <v>63</v>
      </c>
      <c r="C63" s="70">
        <f>INDEX(ConsumptionModelInputs[Quantity],MATCH(ConsumptionModel[[#This Row],[Building]],ConsumptionModelInputs[Building],0))</f>
        <v>34</v>
      </c>
      <c r="D63" s="179" t="s">
        <v>59</v>
      </c>
      <c r="E63" s="179" t="s">
        <v>372</v>
      </c>
      <c r="F63" s="64" t="str">
        <f>IF(OR(ISBLANK(ConsumptionModel[[#This Row],[Building]]),ISBLANK(ConsumptionModel[[#This Row],[Resource]]))," - ",INDEX(Consumption[Type],MATCH(ConsumptionModel[[#This Row],[LookupValue]],Consumption[LookupValue],0)))</f>
        <v>Luxury</v>
      </c>
      <c r="G63" s="61" t="str">
        <f>IF(OR(ISBLANK(ConsumptionModel[[#This Row],[Building]]),ISBLANK(ConsumptionModel[[#This Row],[Resource]]))," - ",ConsumptionModel[[#This Row],[Building]]&amp;" - "&amp;ConsumptionModel[[#This Row],[Resource]])</f>
        <v>Paragon's Residence - Garment</v>
      </c>
      <c r="H63" s="62">
        <f>ConsumptionModel[[#This Row],[Quantity]]*INDEX(Consumption[Consumption/person/h],MATCH(ConsumptionModel[[#This Row],[LookupValue]],Consumption[LookupValue],0))*IFERROR(INDEX(ResidentBuildings[Residents],MATCH(ConsumptionModel[[#This Row],[Building]],ResidentBuildings[Building],0)),0)</f>
        <v>244.8</v>
      </c>
      <c r="I63"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63" s="65">
        <f>IF(ConsumptionModel[[#This Row],[Quantity]]=0,"",IF(AND(ConsumptionModel[[#This Row],[Resource Demand]]=0,ConsumptionModel[[#This Row],[Resource Available]]&gt;0),1,MIN(1,IFERROR(ConsumptionModel[[#This Row],[Resource Available]]/ConsumptionModel[[#This Row],[Resource Demand]],0))))</f>
        <v>0</v>
      </c>
      <c r="K63"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63" s="197"/>
      <c r="P63" s="71">
        <f>SUMIFS(ResourceAvailable[Amount Produced],ResourceAvailable[Resource],ResourceMonitor[[#This Row],[Resource]])</f>
        <v>0</v>
      </c>
      <c r="Q63" s="71">
        <f>SUMIFS(ResourceAvailable[Amount Consumed],ResourceAvailable[Resource],ResourceMonitor[[#This Row],[Resource]])</f>
        <v>0</v>
      </c>
      <c r="R63" s="71">
        <f>SUMIFS(ResourceAvailable[Amount Available for Resident Consumption],ResourceAvailable[Resource],ResourceMonitor[[#This Row],[Resource]])</f>
        <v>0</v>
      </c>
      <c r="S63" s="39">
        <f>MAX(0,ResourceMonitor[[#This Row],[Amount Available for Resident Consumption]]-SUMIFS(ConsumptionModel[Resource Demand],ConsumptionModel[Resource],ResourceMonitor[[#This Row],[Resource]]))</f>
        <v>0</v>
      </c>
      <c r="T63" s="39">
        <f>MIN(0,ResourceMonitor[[#This Row],[Amount Available for Resident Consumption]]-SUMIFS(ConsumptionModel[Resource Demand],ConsumptionModel[Resource],ResourceMonitor[[#This Row],[Resource]]))</f>
        <v>0</v>
      </c>
      <c r="U63" s="122">
        <f>IFERROR(INDEX(#REF!,MATCH(ResourceMonitor[[#This Row],[Resource]],#REF!,0)),0)</f>
        <v>0</v>
      </c>
      <c r="V63" s="194">
        <f>IFERROR(ResourceMonitor[[#This Row],[Amount Produced]]/ResourceMonitor[[#This Row],[Production Target]],0)</f>
        <v>0</v>
      </c>
      <c r="W63" s="133"/>
      <c r="X63" s="47">
        <f>IF(ResourceMonitor[[#This Row],[Ignore shipping needs?]]="Yes",0,ROUNDUP(ResourceMonitor[[#This Row],[Production Target]]/INDEX(ShipRequirementCalculator[Cargo capacity/h (return, 50% empty)],MATCH($X$15,ShipRequirementCalculator[Ship],0)),0))</f>
        <v>0</v>
      </c>
      <c r="Y63" s="47">
        <f>IF(ResourceMonitor[[#This Row],[Ignore shipping needs?]]="Yes",0,ROUNDUP(ResourceMonitor[[#This Row],[Production Target]]/INDEX(ShipRequirementCalculator[Cargo capacity/h (return, 50% empty)],MATCH($Y$15,ShipRequirementCalculator[Ship],0)),0))</f>
        <v>0</v>
      </c>
      <c r="Z63" s="47">
        <f>IF(ResourceMonitor[[#This Row],[Ignore shipping needs?]]="Yes",0,ROUNDUP(ResourceMonitor[[#This Row],[Production Target]]/INDEX(ShipRequirementCalculator[Cargo capacity/h (return, 50% empty)],MATCH($Z$15,ShipRequirementCalculator[Ship],0)),0))</f>
        <v>0</v>
      </c>
      <c r="AA63" s="124"/>
      <c r="AD63" s="83">
        <f>ROW()</f>
        <v>63</v>
      </c>
      <c r="AE63" s="106"/>
      <c r="AF63" s="72"/>
      <c r="AG63" s="18"/>
      <c r="AH63" s="18"/>
      <c r="AI63" s="156">
        <f>IFERROR(IslandModel[[#This Row],[Quantity]]/IslandModel[[#This Row],[Target Quantity]],0)</f>
        <v>0</v>
      </c>
      <c r="AJ63" s="61" t="str">
        <f>IFERROR(INDEX(Production[Resource Produced],MATCH(IslandModel[[#This Row],[Building]],Production[Building],0)),"")</f>
        <v/>
      </c>
      <c r="AK63" s="99">
        <f>IFERROR(IslandModel[[#This Row],[Quantity]]*INDEX(Production[Production in 1h],MATCH(IslandModel[[#This Row],[Building]],Production[Building],0))*IslandModel[[#This Row],[Input Consumption Multiplier]],0)</f>
        <v>0</v>
      </c>
      <c r="AL63" s="115">
        <f>100%</f>
        <v>1</v>
      </c>
      <c r="AM63"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63" s="77" t="str">
        <f>IFERROR(INDEX(Production[Input 1],MATCH(IslandModel[[#This Row],[Building]],Production[Building],0)),"")</f>
        <v/>
      </c>
      <c r="AO63" s="78"/>
      <c r="AP63"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63"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63"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63" s="35" t="str">
        <f>IFERROR(INDEX(Production[Input 2],MATCH(IslandModel[[#This Row],[Building]],Production[Building],0)),"")</f>
        <v/>
      </c>
      <c r="AT63" s="78"/>
      <c r="AU63"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63"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63"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63" s="35" t="str">
        <f>IFERROR(INDEX(Production[Input 3],MATCH(IslandModel[[#This Row],[Building]],Production[Building],0)),"")</f>
        <v/>
      </c>
      <c r="AY63" s="78"/>
      <c r="AZ63"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63"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63"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63" s="35" t="str">
        <f>IFERROR(INDEX(Production[Input 4],MATCH(IslandModel[[#This Row],[Building]],Production[Building],0)),"")</f>
        <v/>
      </c>
      <c r="BD63" s="78"/>
      <c r="BE63"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63"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63"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63" s="35" t="str">
        <f>IFERROR(INDEX(Production[Input 5],MATCH(IslandModel[[#This Row],[Building]],Production[Building],0)),"")</f>
        <v/>
      </c>
      <c r="BI63" s="78"/>
      <c r="BJ63"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63"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63"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63" s="35" t="str">
        <f>IFERROR(INDEX(Production[Input 6],MATCH(IslandModel[[#This Row],[Building]],Production[Building],0)),"")</f>
        <v/>
      </c>
      <c r="BN63" s="78"/>
      <c r="BO63"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63"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63"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63" s="35" t="str">
        <f>IFERROR(INDEX(Production[Input 7],MATCH(IslandModel[[#This Row],[Building]],Production[Building],0)),"")</f>
        <v/>
      </c>
      <c r="BS63" s="78"/>
      <c r="BT63"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63"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63"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63" s="35" t="str">
        <f>IFERROR(INDEX(Production[Input 8],MATCH(IslandModel[[#This Row],[Building]],Production[Building],0)),"")</f>
        <v/>
      </c>
      <c r="BX63" s="78"/>
      <c r="BY63"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63"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63"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63" s="35" t="str">
        <f>IFERROR(INDEX(Production[Input 9],MATCH(IslandModel[[#This Row],[Building]],Production[Building],0)),"")</f>
        <v/>
      </c>
      <c r="CC63" s="78"/>
      <c r="CD63"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63"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63"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63" s="35" t="str">
        <f>IFERROR(INDEX(Production[Input 10],MATCH(IslandModel[[#This Row],[Building]],Production[Building],0)),"")</f>
        <v/>
      </c>
      <c r="CH63" s="78"/>
      <c r="CI63"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63"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63"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63"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63" s="82" t="str">
        <f>IslandModel[[#This Row],[Resource Produced]]</f>
        <v/>
      </c>
      <c r="CN63" s="42">
        <f>IslandModel[[#This Row],[Amount produced/h]]</f>
        <v>0</v>
      </c>
      <c r="CO63" s="42" t="str">
        <f>IslandModel[[#This Row],[Input 1]]</f>
        <v/>
      </c>
      <c r="CP63" s="42">
        <f>-IslandModel[[#This Row],[Input 1 Consumed]]</f>
        <v>0</v>
      </c>
      <c r="CQ63" s="42" t="str">
        <f>IslandModel[[#This Row],[Input 2]]</f>
        <v/>
      </c>
      <c r="CR63" s="42">
        <f>-IslandModel[[#This Row],[Input 2 Consumed]]</f>
        <v>0</v>
      </c>
      <c r="CS63" s="42" t="str">
        <f>IslandModel[[#This Row],[Input 3]]</f>
        <v/>
      </c>
      <c r="CT63" s="42">
        <f>-IslandModel[[#This Row],[Input 3 Consumed]]</f>
        <v>0</v>
      </c>
      <c r="CU63" s="42" t="str">
        <f>IslandModel[[#This Row],[Input 4]]</f>
        <v/>
      </c>
      <c r="CV63" s="42">
        <f>-IslandModel[[#This Row],[Input 4 Consumed]]</f>
        <v>0</v>
      </c>
      <c r="CW63" s="42" t="str">
        <f>IslandModel[[#This Row],[Input 5]]</f>
        <v/>
      </c>
      <c r="CX63" s="42">
        <f>-IslandModel[[#This Row],[Input 5 Consumed]]</f>
        <v>0</v>
      </c>
      <c r="CY63" s="42" t="str">
        <f>IslandModel[[#This Row],[Input 6]]</f>
        <v/>
      </c>
      <c r="CZ63" s="42">
        <f>-IslandModel[[#This Row],[Input 6 Consumed]]</f>
        <v>0</v>
      </c>
      <c r="DA63" s="42" t="str">
        <f>IslandModel[[#This Row],[Input 7]]</f>
        <v/>
      </c>
      <c r="DB63" s="42">
        <f>-IslandModel[[#This Row],[Input 7 Consumed]]</f>
        <v>0</v>
      </c>
      <c r="DC63" s="42" t="str">
        <f>IslandModel[[#This Row],[Input 8]]</f>
        <v/>
      </c>
      <c r="DD63" s="42">
        <f>-IslandModel[[#This Row],[Input 8 Consumed]]</f>
        <v>0</v>
      </c>
      <c r="DE63" s="42" t="str">
        <f>IslandModel[[#This Row],[Input 9]]</f>
        <v/>
      </c>
      <c r="DF63" s="42">
        <f>-IslandModel[[#This Row],[Input 9 Consumed]]</f>
        <v>0</v>
      </c>
      <c r="DG63" s="42" t="str">
        <f>IslandModel[[#This Row],[Input 10]]</f>
        <v/>
      </c>
      <c r="DH63" s="42">
        <f>-IslandModel[[#This Row],[Input 10 Consumed]]</f>
        <v>0</v>
      </c>
      <c r="DJ63" t="s">
        <v>372</v>
      </c>
      <c r="DK63" s="39">
        <f>SUM(SUMIFS(IslandModel[Resource 1 Qty],IslandModel[Resource 1],ResourceAvailable[[#This Row],[Resource]]))</f>
        <v>0</v>
      </c>
      <c r="DL63"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63" s="39">
        <f>ResourceAvailable[[#This Row],[Amount Produced]]-ResourceAvailable[[#This Row],[Amount Consumed]]</f>
        <v>0</v>
      </c>
      <c r="DN63" s="20">
        <f>MAX(0,ResourceAvailable[[#This Row],[Amount Available for Resident Consumption]]-SUMIFS(ConsumptionModel[Resource Demand],ConsumptionModel[Resource],ResourceAvailable[[#This Row],[Resource]]))</f>
        <v>0</v>
      </c>
    </row>
    <row r="64" spans="2:118" ht="21" x14ac:dyDescent="0.65">
      <c r="B64" s="178">
        <f>ROW()</f>
        <v>64</v>
      </c>
      <c r="C64" s="70">
        <f>INDEX(ConsumptionModelInputs[Quantity],MATCH(ConsumptionModel[[#This Row],[Building]],ConsumptionModelInputs[Building],0))</f>
        <v>34</v>
      </c>
      <c r="D64" s="179" t="s">
        <v>59</v>
      </c>
      <c r="E64" s="179" t="s">
        <v>374</v>
      </c>
      <c r="F64" s="64" t="str">
        <f>IF(OR(ISBLANK(ConsumptionModel[[#This Row],[Building]]),ISBLANK(ConsumptionModel[[#This Row],[Resource]]))," - ",INDEX(Consumption[Type],MATCH(ConsumptionModel[[#This Row],[LookupValue]],Consumption[LookupValue],0)))</f>
        <v>Luxury</v>
      </c>
      <c r="G64" s="61" t="str">
        <f>IF(OR(ISBLANK(ConsumptionModel[[#This Row],[Building]]),ISBLANK(ConsumptionModel[[#This Row],[Resource]]))," - ",ConsumptionModel[[#This Row],[Building]]&amp;" - "&amp;ConsumptionModel[[#This Row],[Resource]])</f>
        <v>Paragon's Residence - Goblet</v>
      </c>
      <c r="H64" s="62">
        <f>ConsumptionModel[[#This Row],[Quantity]]*INDEX(Consumption[Consumption/person/h],MATCH(ConsumptionModel[[#This Row],[LookupValue]],Consumption[LookupValue],0))*IFERROR(INDEX(ResidentBuildings[Residents],MATCH(ConsumptionModel[[#This Row],[Building]],ResidentBuildings[Building],0)),0)</f>
        <v>122.4</v>
      </c>
      <c r="I64"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64" s="65">
        <f>IF(ConsumptionModel[[#This Row],[Quantity]]=0,"",IF(AND(ConsumptionModel[[#This Row],[Resource Demand]]=0,ConsumptionModel[[#This Row],[Resource Available]]&gt;0),1,MIN(1,IFERROR(ConsumptionModel[[#This Row],[Resource Available]]/ConsumptionModel[[#This Row],[Resource Demand]],0))))</f>
        <v>0</v>
      </c>
      <c r="K64"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64" s="197"/>
      <c r="P64" s="71">
        <f>SUMIFS(ResourceAvailable[Amount Produced],ResourceAvailable[Resource],ResourceMonitor[[#This Row],[Resource]])</f>
        <v>0</v>
      </c>
      <c r="Q64" s="71">
        <f>SUMIFS(ResourceAvailable[Amount Consumed],ResourceAvailable[Resource],ResourceMonitor[[#This Row],[Resource]])</f>
        <v>0</v>
      </c>
      <c r="R64" s="71">
        <f>SUMIFS(ResourceAvailable[Amount Available for Resident Consumption],ResourceAvailable[Resource],ResourceMonitor[[#This Row],[Resource]])</f>
        <v>0</v>
      </c>
      <c r="S64" s="39">
        <f>MAX(0,ResourceMonitor[[#This Row],[Amount Available for Resident Consumption]]-SUMIFS(ConsumptionModel[Resource Demand],ConsumptionModel[Resource],ResourceMonitor[[#This Row],[Resource]]))</f>
        <v>0</v>
      </c>
      <c r="T64" s="39">
        <f>MIN(0,ResourceMonitor[[#This Row],[Amount Available for Resident Consumption]]-SUMIFS(ConsumptionModel[Resource Demand],ConsumptionModel[Resource],ResourceMonitor[[#This Row],[Resource]]))</f>
        <v>0</v>
      </c>
      <c r="U64" s="122">
        <f>IFERROR(INDEX(#REF!,MATCH(ResourceMonitor[[#This Row],[Resource]],#REF!,0)),0)</f>
        <v>0</v>
      </c>
      <c r="V64" s="194">
        <f>IFERROR(ResourceMonitor[[#This Row],[Amount Produced]]/ResourceMonitor[[#This Row],[Production Target]],0)</f>
        <v>0</v>
      </c>
      <c r="W64" s="133"/>
      <c r="X64" s="47">
        <f>IF(ResourceMonitor[[#This Row],[Ignore shipping needs?]]="Yes",0,ROUNDUP(ResourceMonitor[[#This Row],[Production Target]]/INDEX(ShipRequirementCalculator[Cargo capacity/h (return, 50% empty)],MATCH($X$15,ShipRequirementCalculator[Ship],0)),0))</f>
        <v>0</v>
      </c>
      <c r="Y64" s="47">
        <f>IF(ResourceMonitor[[#This Row],[Ignore shipping needs?]]="Yes",0,ROUNDUP(ResourceMonitor[[#This Row],[Production Target]]/INDEX(ShipRequirementCalculator[Cargo capacity/h (return, 50% empty)],MATCH($Y$15,ShipRequirementCalculator[Ship],0)),0))</f>
        <v>0</v>
      </c>
      <c r="Z64" s="47">
        <f>IF(ResourceMonitor[[#This Row],[Ignore shipping needs?]]="Yes",0,ROUNDUP(ResourceMonitor[[#This Row],[Production Target]]/INDEX(ShipRequirementCalculator[Cargo capacity/h (return, 50% empty)],MATCH($Z$15,ShipRequirementCalculator[Ship],0)),0))</f>
        <v>0</v>
      </c>
      <c r="AA64" s="124"/>
      <c r="AD64" s="83">
        <f>ROW()</f>
        <v>64</v>
      </c>
      <c r="AE64" s="106"/>
      <c r="AF64" s="72"/>
      <c r="AG64" s="18"/>
      <c r="AH64" s="18"/>
      <c r="AI64" s="156">
        <f>IFERROR(IslandModel[[#This Row],[Quantity]]/IslandModel[[#This Row],[Target Quantity]],0)</f>
        <v>0</v>
      </c>
      <c r="AJ64" s="61" t="str">
        <f>IFERROR(INDEX(Production[Resource Produced],MATCH(IslandModel[[#This Row],[Building]],Production[Building],0)),"")</f>
        <v/>
      </c>
      <c r="AK64" s="99">
        <f>IFERROR(IslandModel[[#This Row],[Quantity]]*INDEX(Production[Production in 1h],MATCH(IslandModel[[#This Row],[Building]],Production[Building],0))*IslandModel[[#This Row],[Input Consumption Multiplier]],0)</f>
        <v>0</v>
      </c>
      <c r="AL64" s="115">
        <f>100%</f>
        <v>1</v>
      </c>
      <c r="AM64"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64" s="77" t="str">
        <f>IFERROR(INDEX(Production[Input 1],MATCH(IslandModel[[#This Row],[Building]],Production[Building],0)),"")</f>
        <v/>
      </c>
      <c r="AO64" s="78"/>
      <c r="AP64"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64"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64"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64" s="35" t="str">
        <f>IFERROR(INDEX(Production[Input 2],MATCH(IslandModel[[#This Row],[Building]],Production[Building],0)),"")</f>
        <v/>
      </c>
      <c r="AT64" s="78"/>
      <c r="AU64"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64"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64"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64" s="35" t="str">
        <f>IFERROR(INDEX(Production[Input 3],MATCH(IslandModel[[#This Row],[Building]],Production[Building],0)),"")</f>
        <v/>
      </c>
      <c r="AY64" s="78"/>
      <c r="AZ64"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64"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64"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64" s="35" t="str">
        <f>IFERROR(INDEX(Production[Input 4],MATCH(IslandModel[[#This Row],[Building]],Production[Building],0)),"")</f>
        <v/>
      </c>
      <c r="BD64" s="78"/>
      <c r="BE64"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64"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64"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64" s="35" t="str">
        <f>IFERROR(INDEX(Production[Input 5],MATCH(IslandModel[[#This Row],[Building]],Production[Building],0)),"")</f>
        <v/>
      </c>
      <c r="BI64" s="78"/>
      <c r="BJ64"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64"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64"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64" s="35" t="str">
        <f>IFERROR(INDEX(Production[Input 6],MATCH(IslandModel[[#This Row],[Building]],Production[Building],0)),"")</f>
        <v/>
      </c>
      <c r="BN64" s="78"/>
      <c r="BO64"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64"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64"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64" s="35" t="str">
        <f>IFERROR(INDEX(Production[Input 7],MATCH(IslandModel[[#This Row],[Building]],Production[Building],0)),"")</f>
        <v/>
      </c>
      <c r="BS64" s="78"/>
      <c r="BT64"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64"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64"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64" s="35" t="str">
        <f>IFERROR(INDEX(Production[Input 8],MATCH(IslandModel[[#This Row],[Building]],Production[Building],0)),"")</f>
        <v/>
      </c>
      <c r="BX64" s="78"/>
      <c r="BY64"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64"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64"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64" s="35" t="str">
        <f>IFERROR(INDEX(Production[Input 9],MATCH(IslandModel[[#This Row],[Building]],Production[Building],0)),"")</f>
        <v/>
      </c>
      <c r="CC64" s="78"/>
      <c r="CD64"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64"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64"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64" s="35" t="str">
        <f>IFERROR(INDEX(Production[Input 10],MATCH(IslandModel[[#This Row],[Building]],Production[Building],0)),"")</f>
        <v/>
      </c>
      <c r="CH64" s="78"/>
      <c r="CI64"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64"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64"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64"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64" s="82" t="str">
        <f>IslandModel[[#This Row],[Resource Produced]]</f>
        <v/>
      </c>
      <c r="CN64" s="42">
        <f>IslandModel[[#This Row],[Amount produced/h]]</f>
        <v>0</v>
      </c>
      <c r="CO64" s="42" t="str">
        <f>IslandModel[[#This Row],[Input 1]]</f>
        <v/>
      </c>
      <c r="CP64" s="42">
        <f>-IslandModel[[#This Row],[Input 1 Consumed]]</f>
        <v>0</v>
      </c>
      <c r="CQ64" s="42" t="str">
        <f>IslandModel[[#This Row],[Input 2]]</f>
        <v/>
      </c>
      <c r="CR64" s="42">
        <f>-IslandModel[[#This Row],[Input 2 Consumed]]</f>
        <v>0</v>
      </c>
      <c r="CS64" s="42" t="str">
        <f>IslandModel[[#This Row],[Input 3]]</f>
        <v/>
      </c>
      <c r="CT64" s="42">
        <f>-IslandModel[[#This Row],[Input 3 Consumed]]</f>
        <v>0</v>
      </c>
      <c r="CU64" s="42" t="str">
        <f>IslandModel[[#This Row],[Input 4]]</f>
        <v/>
      </c>
      <c r="CV64" s="42">
        <f>-IslandModel[[#This Row],[Input 4 Consumed]]</f>
        <v>0</v>
      </c>
      <c r="CW64" s="42" t="str">
        <f>IslandModel[[#This Row],[Input 5]]</f>
        <v/>
      </c>
      <c r="CX64" s="42">
        <f>-IslandModel[[#This Row],[Input 5 Consumed]]</f>
        <v>0</v>
      </c>
      <c r="CY64" s="42" t="str">
        <f>IslandModel[[#This Row],[Input 6]]</f>
        <v/>
      </c>
      <c r="CZ64" s="42">
        <f>-IslandModel[[#This Row],[Input 6 Consumed]]</f>
        <v>0</v>
      </c>
      <c r="DA64" s="42" t="str">
        <f>IslandModel[[#This Row],[Input 7]]</f>
        <v/>
      </c>
      <c r="DB64" s="42">
        <f>-IslandModel[[#This Row],[Input 7 Consumed]]</f>
        <v>0</v>
      </c>
      <c r="DC64" s="42" t="str">
        <f>IslandModel[[#This Row],[Input 8]]</f>
        <v/>
      </c>
      <c r="DD64" s="42">
        <f>-IslandModel[[#This Row],[Input 8 Consumed]]</f>
        <v>0</v>
      </c>
      <c r="DE64" s="42" t="str">
        <f>IslandModel[[#This Row],[Input 9]]</f>
        <v/>
      </c>
      <c r="DF64" s="42">
        <f>-IslandModel[[#This Row],[Input 9 Consumed]]</f>
        <v>0</v>
      </c>
      <c r="DG64" s="42" t="str">
        <f>IslandModel[[#This Row],[Input 10]]</f>
        <v/>
      </c>
      <c r="DH64" s="42">
        <f>-IslandModel[[#This Row],[Input 10 Consumed]]</f>
        <v>0</v>
      </c>
      <c r="DJ64" t="s">
        <v>373</v>
      </c>
      <c r="DK64" s="39">
        <f>SUM(SUMIFS(IslandModel[Resource 1 Qty],IslandModel[Resource 1],ResourceAvailable[[#This Row],[Resource]]))</f>
        <v>0</v>
      </c>
      <c r="DL64"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64" s="39">
        <f>ResourceAvailable[[#This Row],[Amount Produced]]-ResourceAvailable[[#This Row],[Amount Consumed]]</f>
        <v>0</v>
      </c>
      <c r="DN64" s="20">
        <f>MAX(0,ResourceAvailable[[#This Row],[Amount Available for Resident Consumption]]-SUMIFS(ConsumptionModel[Resource Demand],ConsumptionModel[Resource],ResourceAvailable[[#This Row],[Resource]]))</f>
        <v>0</v>
      </c>
    </row>
    <row r="65" spans="2:118" ht="21" x14ac:dyDescent="0.65">
      <c r="B65" s="178">
        <f>ROW()</f>
        <v>65</v>
      </c>
      <c r="C65" s="70">
        <f>INDEX(ConsumptionModelInputs[Quantity],MATCH(ConsumptionModel[[#This Row],[Building]],ConsumptionModelInputs[Building],0))</f>
        <v>34</v>
      </c>
      <c r="D65" s="179" t="s">
        <v>59</v>
      </c>
      <c r="E65" s="179" t="s">
        <v>660</v>
      </c>
      <c r="F65" s="64" t="str">
        <f>IF(OR(ISBLANK(ConsumptionModel[[#This Row],[Building]]),ISBLANK(ConsumptionModel[[#This Row],[Resource]]))," - ",INDEX(Consumption[Type],MATCH(ConsumptionModel[[#This Row],[LookupValue]],Consumption[LookupValue],0)))</f>
        <v>Luxury</v>
      </c>
      <c r="G65" s="61" t="str">
        <f>IF(OR(ISBLANK(ConsumptionModel[[#This Row],[Building]]),ISBLANK(ConsumptionModel[[#This Row],[Resource]]))," - ",ConsumptionModel[[#This Row],[Building]]&amp;" - "&amp;ConsumptionModel[[#This Row],[Resource]])</f>
        <v>Paragon's Residence - Candle Holder</v>
      </c>
      <c r="H65" s="62">
        <f>ConsumptionModel[[#This Row],[Quantity]]*INDEX(Consumption[Consumption/person/h],MATCH(ConsumptionModel[[#This Row],[LookupValue]],Consumption[LookupValue],0))*IFERROR(INDEX(ResidentBuildings[Residents],MATCH(ConsumptionModel[[#This Row],[Building]],ResidentBuildings[Building],0)),0)</f>
        <v>183.60000000000002</v>
      </c>
      <c r="I65"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65" s="65">
        <f>IF(ConsumptionModel[[#This Row],[Quantity]]=0,"",IF(AND(ConsumptionModel[[#This Row],[Resource Demand]]=0,ConsumptionModel[[#This Row],[Resource Available]]&gt;0),1,MIN(1,IFERROR(ConsumptionModel[[#This Row],[Resource Available]]/ConsumptionModel[[#This Row],[Resource Demand]],0))))</f>
        <v>0</v>
      </c>
      <c r="K65"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65" s="197"/>
      <c r="P65" s="71">
        <f>SUMIFS(ResourceAvailable[Amount Produced],ResourceAvailable[Resource],ResourceMonitor[[#This Row],[Resource]])</f>
        <v>0</v>
      </c>
      <c r="Q65" s="71">
        <f>SUMIFS(ResourceAvailable[Amount Consumed],ResourceAvailable[Resource],ResourceMonitor[[#This Row],[Resource]])</f>
        <v>0</v>
      </c>
      <c r="R65" s="71">
        <f>SUMIFS(ResourceAvailable[Amount Available for Resident Consumption],ResourceAvailable[Resource],ResourceMonitor[[#This Row],[Resource]])</f>
        <v>0</v>
      </c>
      <c r="S65" s="39">
        <f>MAX(0,ResourceMonitor[[#This Row],[Amount Available for Resident Consumption]]-SUMIFS(ConsumptionModel[Resource Demand],ConsumptionModel[Resource],ResourceMonitor[[#This Row],[Resource]]))</f>
        <v>0</v>
      </c>
      <c r="T65" s="39">
        <f>MIN(0,ResourceMonitor[[#This Row],[Amount Available for Resident Consumption]]-SUMIFS(ConsumptionModel[Resource Demand],ConsumptionModel[Resource],ResourceMonitor[[#This Row],[Resource]]))</f>
        <v>0</v>
      </c>
      <c r="U65" s="122">
        <f>IFERROR(INDEX(#REF!,MATCH(ResourceMonitor[[#This Row],[Resource]],#REF!,0)),0)</f>
        <v>0</v>
      </c>
      <c r="V65" s="194">
        <f>IFERROR(ResourceMonitor[[#This Row],[Amount Produced]]/ResourceMonitor[[#This Row],[Production Target]],0)</f>
        <v>0</v>
      </c>
      <c r="W65" s="133"/>
      <c r="X65" s="47">
        <f>IF(ResourceMonitor[[#This Row],[Ignore shipping needs?]]="Yes",0,ROUNDUP(ResourceMonitor[[#This Row],[Production Target]]/INDEX(ShipRequirementCalculator[Cargo capacity/h (return, 50% empty)],MATCH($X$15,ShipRequirementCalculator[Ship],0)),0))</f>
        <v>0</v>
      </c>
      <c r="Y65" s="47">
        <f>IF(ResourceMonitor[[#This Row],[Ignore shipping needs?]]="Yes",0,ROUNDUP(ResourceMonitor[[#This Row],[Production Target]]/INDEX(ShipRequirementCalculator[Cargo capacity/h (return, 50% empty)],MATCH($Y$15,ShipRequirementCalculator[Ship],0)),0))</f>
        <v>0</v>
      </c>
      <c r="Z65" s="47">
        <f>IF(ResourceMonitor[[#This Row],[Ignore shipping needs?]]="Yes",0,ROUNDUP(ResourceMonitor[[#This Row],[Production Target]]/INDEX(ShipRequirementCalculator[Cargo capacity/h (return, 50% empty)],MATCH($Z$15,ShipRequirementCalculator[Ship],0)),0))</f>
        <v>0</v>
      </c>
      <c r="AA65" s="124"/>
      <c r="AD65" s="83">
        <f>ROW()</f>
        <v>65</v>
      </c>
      <c r="AE65" s="106"/>
      <c r="AF65" s="72"/>
      <c r="AG65" s="18"/>
      <c r="AH65" s="18"/>
      <c r="AI65" s="156">
        <f>IFERROR(IslandModel[[#This Row],[Quantity]]/IslandModel[[#This Row],[Target Quantity]],0)</f>
        <v>0</v>
      </c>
      <c r="AJ65" s="61" t="str">
        <f>IFERROR(INDEX(Production[Resource Produced],MATCH(IslandModel[[#This Row],[Building]],Production[Building],0)),"")</f>
        <v/>
      </c>
      <c r="AK65" s="99">
        <f>IFERROR(IslandModel[[#This Row],[Quantity]]*INDEX(Production[Production in 1h],MATCH(IslandModel[[#This Row],[Building]],Production[Building],0))*IslandModel[[#This Row],[Input Consumption Multiplier]],0)</f>
        <v>0</v>
      </c>
      <c r="AL65" s="115">
        <f>100%</f>
        <v>1</v>
      </c>
      <c r="AM65"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65" s="77" t="str">
        <f>IFERROR(INDEX(Production[Input 1],MATCH(IslandModel[[#This Row],[Building]],Production[Building],0)),"")</f>
        <v/>
      </c>
      <c r="AO65" s="78"/>
      <c r="AP65"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65"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65"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65" s="35" t="str">
        <f>IFERROR(INDEX(Production[Input 2],MATCH(IslandModel[[#This Row],[Building]],Production[Building],0)),"")</f>
        <v/>
      </c>
      <c r="AT65" s="78"/>
      <c r="AU65"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65"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65"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65" s="35" t="str">
        <f>IFERROR(INDEX(Production[Input 3],MATCH(IslandModel[[#This Row],[Building]],Production[Building],0)),"")</f>
        <v/>
      </c>
      <c r="AY65" s="78"/>
      <c r="AZ65"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65"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65"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65" s="35" t="str">
        <f>IFERROR(INDEX(Production[Input 4],MATCH(IslandModel[[#This Row],[Building]],Production[Building],0)),"")</f>
        <v/>
      </c>
      <c r="BD65" s="78"/>
      <c r="BE65"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65"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65"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65" s="35" t="str">
        <f>IFERROR(INDEX(Production[Input 5],MATCH(IslandModel[[#This Row],[Building]],Production[Building],0)),"")</f>
        <v/>
      </c>
      <c r="BI65" s="78"/>
      <c r="BJ65"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65"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65"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65" s="35" t="str">
        <f>IFERROR(INDEX(Production[Input 6],MATCH(IslandModel[[#This Row],[Building]],Production[Building],0)),"")</f>
        <v/>
      </c>
      <c r="BN65" s="78"/>
      <c r="BO65"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65"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65"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65" s="35" t="str">
        <f>IFERROR(INDEX(Production[Input 7],MATCH(IslandModel[[#This Row],[Building]],Production[Building],0)),"")</f>
        <v/>
      </c>
      <c r="BS65" s="78"/>
      <c r="BT65"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65"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65"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65" s="35" t="str">
        <f>IFERROR(INDEX(Production[Input 8],MATCH(IslandModel[[#This Row],[Building]],Production[Building],0)),"")</f>
        <v/>
      </c>
      <c r="BX65" s="78"/>
      <c r="BY65"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65"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65"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65" s="35" t="str">
        <f>IFERROR(INDEX(Production[Input 9],MATCH(IslandModel[[#This Row],[Building]],Production[Building],0)),"")</f>
        <v/>
      </c>
      <c r="CC65" s="78"/>
      <c r="CD65"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65"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65"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65" s="35" t="str">
        <f>IFERROR(INDEX(Production[Input 10],MATCH(IslandModel[[#This Row],[Building]],Production[Building],0)),"")</f>
        <v/>
      </c>
      <c r="CH65" s="78"/>
      <c r="CI65"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65"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65"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65"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65" s="82" t="str">
        <f>IslandModel[[#This Row],[Resource Produced]]</f>
        <v/>
      </c>
      <c r="CN65" s="42">
        <f>IslandModel[[#This Row],[Amount produced/h]]</f>
        <v>0</v>
      </c>
      <c r="CO65" s="42" t="str">
        <f>IslandModel[[#This Row],[Input 1]]</f>
        <v/>
      </c>
      <c r="CP65" s="42">
        <f>-IslandModel[[#This Row],[Input 1 Consumed]]</f>
        <v>0</v>
      </c>
      <c r="CQ65" s="42" t="str">
        <f>IslandModel[[#This Row],[Input 2]]</f>
        <v/>
      </c>
      <c r="CR65" s="42">
        <f>-IslandModel[[#This Row],[Input 2 Consumed]]</f>
        <v>0</v>
      </c>
      <c r="CS65" s="42" t="str">
        <f>IslandModel[[#This Row],[Input 3]]</f>
        <v/>
      </c>
      <c r="CT65" s="42">
        <f>-IslandModel[[#This Row],[Input 3 Consumed]]</f>
        <v>0</v>
      </c>
      <c r="CU65" s="42" t="str">
        <f>IslandModel[[#This Row],[Input 4]]</f>
        <v/>
      </c>
      <c r="CV65" s="42">
        <f>-IslandModel[[#This Row],[Input 4 Consumed]]</f>
        <v>0</v>
      </c>
      <c r="CW65" s="42" t="str">
        <f>IslandModel[[#This Row],[Input 5]]</f>
        <v/>
      </c>
      <c r="CX65" s="42">
        <f>-IslandModel[[#This Row],[Input 5 Consumed]]</f>
        <v>0</v>
      </c>
      <c r="CY65" s="42" t="str">
        <f>IslandModel[[#This Row],[Input 6]]</f>
        <v/>
      </c>
      <c r="CZ65" s="42">
        <f>-IslandModel[[#This Row],[Input 6 Consumed]]</f>
        <v>0</v>
      </c>
      <c r="DA65" s="42" t="str">
        <f>IslandModel[[#This Row],[Input 7]]</f>
        <v/>
      </c>
      <c r="DB65" s="42">
        <f>-IslandModel[[#This Row],[Input 7 Consumed]]</f>
        <v>0</v>
      </c>
      <c r="DC65" s="42" t="str">
        <f>IslandModel[[#This Row],[Input 8]]</f>
        <v/>
      </c>
      <c r="DD65" s="42">
        <f>-IslandModel[[#This Row],[Input 8 Consumed]]</f>
        <v>0</v>
      </c>
      <c r="DE65" s="42" t="str">
        <f>IslandModel[[#This Row],[Input 9]]</f>
        <v/>
      </c>
      <c r="DF65" s="42">
        <f>-IslandModel[[#This Row],[Input 9 Consumed]]</f>
        <v>0</v>
      </c>
      <c r="DG65" s="42" t="str">
        <f>IslandModel[[#This Row],[Input 10]]</f>
        <v/>
      </c>
      <c r="DH65" s="42">
        <f>-IslandModel[[#This Row],[Input 10 Consumed]]</f>
        <v>0</v>
      </c>
      <c r="DJ65" t="s">
        <v>374</v>
      </c>
      <c r="DK65" s="39">
        <f>SUM(SUMIFS(IslandModel[Resource 1 Qty],IslandModel[Resource 1],ResourceAvailable[[#This Row],[Resource]]))</f>
        <v>0</v>
      </c>
      <c r="DL65"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65" s="39">
        <f>ResourceAvailable[[#This Row],[Amount Produced]]-ResourceAvailable[[#This Row],[Amount Consumed]]</f>
        <v>0</v>
      </c>
      <c r="DN65" s="20">
        <f>MAX(0,ResourceAvailable[[#This Row],[Amount Available for Resident Consumption]]-SUMIFS(ConsumptionModel[Resource Demand],ConsumptionModel[Resource],ResourceAvailable[[#This Row],[Resource]]))</f>
        <v>0</v>
      </c>
    </row>
    <row r="66" spans="2:118" ht="21" x14ac:dyDescent="0.65">
      <c r="B66" s="178">
        <f>ROW()</f>
        <v>66</v>
      </c>
      <c r="C66" s="70">
        <f>INDEX(ConsumptionModelInputs[Quantity],MATCH(ConsumptionModel[[#This Row],[Building]],ConsumptionModelInputs[Building],0))</f>
        <v>34</v>
      </c>
      <c r="D66" s="179" t="s">
        <v>59</v>
      </c>
      <c r="E66" s="179" t="s">
        <v>379</v>
      </c>
      <c r="F66" s="64" t="str">
        <f>IF(OR(ISBLANK(ConsumptionModel[[#This Row],[Building]]),ISBLANK(ConsumptionModel[[#This Row],[Resource]]))," - ",INDEX(Consumption[Type],MATCH(ConsumptionModel[[#This Row],[LookupValue]],Consumption[LookupValue],0)))</f>
        <v>Luxury</v>
      </c>
      <c r="G66" s="61" t="str">
        <f>IF(OR(ISBLANK(ConsumptionModel[[#This Row],[Building]]),ISBLANK(ConsumptionModel[[#This Row],[Resource]]))," - ",ConsumptionModel[[#This Row],[Building]]&amp;" - "&amp;ConsumptionModel[[#This Row],[Resource]])</f>
        <v>Paragon's Residence - Feast</v>
      </c>
      <c r="H66" s="62">
        <f>ConsumptionModel[[#This Row],[Quantity]]*INDEX(Consumption[Consumption/person/h],MATCH(ConsumptionModel[[#This Row],[LookupValue]],Consumption[LookupValue],0))*IFERROR(INDEX(ResidentBuildings[Residents],MATCH(ConsumptionModel[[#This Row],[Building]],ResidentBuildings[Building],0)),0)</f>
        <v>367.20000000000005</v>
      </c>
      <c r="I66"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66" s="65">
        <f>IF(ConsumptionModel[[#This Row],[Quantity]]=0,"",IF(AND(ConsumptionModel[[#This Row],[Resource Demand]]=0,ConsumptionModel[[#This Row],[Resource Available]]&gt;0),1,MIN(1,IFERROR(ConsumptionModel[[#This Row],[Resource Available]]/ConsumptionModel[[#This Row],[Resource Demand]],0))))</f>
        <v>0</v>
      </c>
      <c r="K66"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66" s="197"/>
      <c r="P66" s="71">
        <f>SUMIFS(ResourceAvailable[Amount Produced],ResourceAvailable[Resource],ResourceMonitor[[#This Row],[Resource]])</f>
        <v>0</v>
      </c>
      <c r="Q66" s="71">
        <f>SUMIFS(ResourceAvailable[Amount Consumed],ResourceAvailable[Resource],ResourceMonitor[[#This Row],[Resource]])</f>
        <v>0</v>
      </c>
      <c r="R66" s="71">
        <f>SUMIFS(ResourceAvailable[Amount Available for Resident Consumption],ResourceAvailable[Resource],ResourceMonitor[[#This Row],[Resource]])</f>
        <v>0</v>
      </c>
      <c r="S66" s="39">
        <f>MAX(0,ResourceMonitor[[#This Row],[Amount Available for Resident Consumption]]-SUMIFS(ConsumptionModel[Resource Demand],ConsumptionModel[Resource],ResourceMonitor[[#This Row],[Resource]]))</f>
        <v>0</v>
      </c>
      <c r="T66" s="39">
        <f>MIN(0,ResourceMonitor[[#This Row],[Amount Available for Resident Consumption]]-SUMIFS(ConsumptionModel[Resource Demand],ConsumptionModel[Resource],ResourceMonitor[[#This Row],[Resource]]))</f>
        <v>0</v>
      </c>
      <c r="U66" s="122">
        <f>IFERROR(INDEX(#REF!,MATCH(ResourceMonitor[[#This Row],[Resource]],#REF!,0)),0)</f>
        <v>0</v>
      </c>
      <c r="V66" s="194">
        <f>IFERROR(ResourceMonitor[[#This Row],[Amount Produced]]/ResourceMonitor[[#This Row],[Production Target]],0)</f>
        <v>0</v>
      </c>
      <c r="W66" s="133"/>
      <c r="X66" s="47">
        <f>IF(ResourceMonitor[[#This Row],[Ignore shipping needs?]]="Yes",0,ROUNDUP(ResourceMonitor[[#This Row],[Production Target]]/INDEX(ShipRequirementCalculator[Cargo capacity/h (return, 50% empty)],MATCH($X$15,ShipRequirementCalculator[Ship],0)),0))</f>
        <v>0</v>
      </c>
      <c r="Y66" s="47">
        <f>IF(ResourceMonitor[[#This Row],[Ignore shipping needs?]]="Yes",0,ROUNDUP(ResourceMonitor[[#This Row],[Production Target]]/INDEX(ShipRequirementCalculator[Cargo capacity/h (return, 50% empty)],MATCH($Y$15,ShipRequirementCalculator[Ship],0)),0))</f>
        <v>0</v>
      </c>
      <c r="Z66" s="47">
        <f>IF(ResourceMonitor[[#This Row],[Ignore shipping needs?]]="Yes",0,ROUNDUP(ResourceMonitor[[#This Row],[Production Target]]/INDEX(ShipRequirementCalculator[Cargo capacity/h (return, 50% empty)],MATCH($Z$15,ShipRequirementCalculator[Ship],0)),0))</f>
        <v>0</v>
      </c>
      <c r="AA66" s="124"/>
      <c r="AD66" s="83">
        <f>ROW()</f>
        <v>66</v>
      </c>
      <c r="AE66" s="106"/>
      <c r="AF66" s="72"/>
      <c r="AG66" s="18"/>
      <c r="AH66" s="18"/>
      <c r="AI66" s="156">
        <f>IFERROR(IslandModel[[#This Row],[Quantity]]/IslandModel[[#This Row],[Target Quantity]],0)</f>
        <v>0</v>
      </c>
      <c r="AJ66" s="61" t="str">
        <f>IFERROR(INDEX(Production[Resource Produced],MATCH(IslandModel[[#This Row],[Building]],Production[Building],0)),"")</f>
        <v/>
      </c>
      <c r="AK66" s="99">
        <f>IFERROR(IslandModel[[#This Row],[Quantity]]*INDEX(Production[Production in 1h],MATCH(IslandModel[[#This Row],[Building]],Production[Building],0))*IslandModel[[#This Row],[Input Consumption Multiplier]],0)</f>
        <v>0</v>
      </c>
      <c r="AL66" s="115">
        <f>100%</f>
        <v>1</v>
      </c>
      <c r="AM66"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66" s="77" t="str">
        <f>IFERROR(INDEX(Production[Input 1],MATCH(IslandModel[[#This Row],[Building]],Production[Building],0)),"")</f>
        <v/>
      </c>
      <c r="AO66" s="78"/>
      <c r="AP66"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66"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66"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66" s="35" t="str">
        <f>IFERROR(INDEX(Production[Input 2],MATCH(IslandModel[[#This Row],[Building]],Production[Building],0)),"")</f>
        <v/>
      </c>
      <c r="AT66" s="78"/>
      <c r="AU66"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66"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66"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66" s="35" t="str">
        <f>IFERROR(INDEX(Production[Input 3],MATCH(IslandModel[[#This Row],[Building]],Production[Building],0)),"")</f>
        <v/>
      </c>
      <c r="AY66" s="78"/>
      <c r="AZ66"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66"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66"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66" s="35" t="str">
        <f>IFERROR(INDEX(Production[Input 4],MATCH(IslandModel[[#This Row],[Building]],Production[Building],0)),"")</f>
        <v/>
      </c>
      <c r="BD66" s="78"/>
      <c r="BE66"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66"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66"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66" s="35" t="str">
        <f>IFERROR(INDEX(Production[Input 5],MATCH(IslandModel[[#This Row],[Building]],Production[Building],0)),"")</f>
        <v/>
      </c>
      <c r="BI66" s="78"/>
      <c r="BJ66"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66"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66"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66" s="35" t="str">
        <f>IFERROR(INDEX(Production[Input 6],MATCH(IslandModel[[#This Row],[Building]],Production[Building],0)),"")</f>
        <v/>
      </c>
      <c r="BN66" s="78"/>
      <c r="BO66"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66"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66"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66" s="35" t="str">
        <f>IFERROR(INDEX(Production[Input 7],MATCH(IslandModel[[#This Row],[Building]],Production[Building],0)),"")</f>
        <v/>
      </c>
      <c r="BS66" s="78"/>
      <c r="BT66"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66"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66"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66" s="35" t="str">
        <f>IFERROR(INDEX(Production[Input 8],MATCH(IslandModel[[#This Row],[Building]],Production[Building],0)),"")</f>
        <v/>
      </c>
      <c r="BX66" s="78"/>
      <c r="BY66"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66"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66"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66" s="35" t="str">
        <f>IFERROR(INDEX(Production[Input 9],MATCH(IslandModel[[#This Row],[Building]],Production[Building],0)),"")</f>
        <v/>
      </c>
      <c r="CC66" s="78"/>
      <c r="CD66"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66"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66"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66" s="35" t="str">
        <f>IFERROR(INDEX(Production[Input 10],MATCH(IslandModel[[#This Row],[Building]],Production[Building],0)),"")</f>
        <v/>
      </c>
      <c r="CH66" s="78"/>
      <c r="CI66"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66"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66"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66"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66" s="82" t="str">
        <f>IslandModel[[#This Row],[Resource Produced]]</f>
        <v/>
      </c>
      <c r="CN66" s="42">
        <f>IslandModel[[#This Row],[Amount produced/h]]</f>
        <v>0</v>
      </c>
      <c r="CO66" s="42" t="str">
        <f>IslandModel[[#This Row],[Input 1]]</f>
        <v/>
      </c>
      <c r="CP66" s="42">
        <f>-IslandModel[[#This Row],[Input 1 Consumed]]</f>
        <v>0</v>
      </c>
      <c r="CQ66" s="42" t="str">
        <f>IslandModel[[#This Row],[Input 2]]</f>
        <v/>
      </c>
      <c r="CR66" s="42">
        <f>-IslandModel[[#This Row],[Input 2 Consumed]]</f>
        <v>0</v>
      </c>
      <c r="CS66" s="42" t="str">
        <f>IslandModel[[#This Row],[Input 3]]</f>
        <v/>
      </c>
      <c r="CT66" s="42">
        <f>-IslandModel[[#This Row],[Input 3 Consumed]]</f>
        <v>0</v>
      </c>
      <c r="CU66" s="42" t="str">
        <f>IslandModel[[#This Row],[Input 4]]</f>
        <v/>
      </c>
      <c r="CV66" s="42">
        <f>-IslandModel[[#This Row],[Input 4 Consumed]]</f>
        <v>0</v>
      </c>
      <c r="CW66" s="42" t="str">
        <f>IslandModel[[#This Row],[Input 5]]</f>
        <v/>
      </c>
      <c r="CX66" s="42">
        <f>-IslandModel[[#This Row],[Input 5 Consumed]]</f>
        <v>0</v>
      </c>
      <c r="CY66" s="42" t="str">
        <f>IslandModel[[#This Row],[Input 6]]</f>
        <v/>
      </c>
      <c r="CZ66" s="42">
        <f>-IslandModel[[#This Row],[Input 6 Consumed]]</f>
        <v>0</v>
      </c>
      <c r="DA66" s="42" t="str">
        <f>IslandModel[[#This Row],[Input 7]]</f>
        <v/>
      </c>
      <c r="DB66" s="42">
        <f>-IslandModel[[#This Row],[Input 7 Consumed]]</f>
        <v>0</v>
      </c>
      <c r="DC66" s="42" t="str">
        <f>IslandModel[[#This Row],[Input 8]]</f>
        <v/>
      </c>
      <c r="DD66" s="42">
        <f>-IslandModel[[#This Row],[Input 8 Consumed]]</f>
        <v>0</v>
      </c>
      <c r="DE66" s="42" t="str">
        <f>IslandModel[[#This Row],[Input 9]]</f>
        <v/>
      </c>
      <c r="DF66" s="42">
        <f>-IslandModel[[#This Row],[Input 9 Consumed]]</f>
        <v>0</v>
      </c>
      <c r="DG66" s="42" t="str">
        <f>IslandModel[[#This Row],[Input 10]]</f>
        <v/>
      </c>
      <c r="DH66" s="42">
        <f>-IslandModel[[#This Row],[Input 10 Consumed]]</f>
        <v>0</v>
      </c>
      <c r="DJ66" s="55" t="s">
        <v>61</v>
      </c>
      <c r="DK66" s="39">
        <f>SUM(SUMIFS(IslandModel[Resource 1 Qty],IslandModel[Resource 1],ResourceAvailable[[#This Row],[Resource]]))</f>
        <v>0</v>
      </c>
      <c r="DL66"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66" s="39">
        <f>ResourceAvailable[[#This Row],[Amount Produced]]-ResourceAvailable[[#This Row],[Amount Consumed]]</f>
        <v>0</v>
      </c>
      <c r="DN66" s="20">
        <f>MAX(0,ResourceAvailable[[#This Row],[Amount Available for Resident Consumption]]-SUMIFS(ConsumptionModel[Resource Demand],ConsumptionModel[Resource],ResourceAvailable[[#This Row],[Resource]]))</f>
        <v>0</v>
      </c>
    </row>
    <row r="67" spans="2:118" ht="21" x14ac:dyDescent="0.65">
      <c r="B67" s="178">
        <f>ROW()</f>
        <v>67</v>
      </c>
      <c r="C67" s="70">
        <f>INDEX(ConsumptionModelInputs[Quantity],MATCH(ConsumptionModel[[#This Row],[Building]],ConsumptionModelInputs[Building],0))</f>
        <v>34</v>
      </c>
      <c r="D67" s="179" t="s">
        <v>59</v>
      </c>
      <c r="E67" s="179" t="s">
        <v>382</v>
      </c>
      <c r="F67" s="64" t="str">
        <f>IF(OR(ISBLANK(ConsumptionModel[[#This Row],[Building]]),ISBLANK(ConsumptionModel[[#This Row],[Resource]]))," - ",INDEX(Consumption[Type],MATCH(ConsumptionModel[[#This Row],[LookupValue]],Consumption[LookupValue],0)))</f>
        <v>Luxury</v>
      </c>
      <c r="G67" s="61" t="str">
        <f>IF(OR(ISBLANK(ConsumptionModel[[#This Row],[Building]]),ISBLANK(ConsumptionModel[[#This Row],[Resource]]))," - ",ConsumptionModel[[#This Row],[Building]]&amp;" - "&amp;ConsumptionModel[[#This Row],[Resource]])</f>
        <v>Paragon's Residence - Wine</v>
      </c>
      <c r="H67" s="62">
        <f>ConsumptionModel[[#This Row],[Quantity]]*INDEX(Consumption[Consumption/person/h],MATCH(ConsumptionModel[[#This Row],[LookupValue]],Consumption[LookupValue],0))*IFERROR(INDEX(ResidentBuildings[Residents],MATCH(ConsumptionModel[[#This Row],[Building]],ResidentBuildings[Building],0)),0)</f>
        <v>272</v>
      </c>
      <c r="I67"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67" s="65">
        <f>IF(ConsumptionModel[[#This Row],[Quantity]]=0,"",IF(AND(ConsumptionModel[[#This Row],[Resource Demand]]=0,ConsumptionModel[[#This Row],[Resource Available]]&gt;0),1,MIN(1,IFERROR(ConsumptionModel[[#This Row],[Resource Available]]/ConsumptionModel[[#This Row],[Resource Demand]],0))))</f>
        <v>0</v>
      </c>
      <c r="K67"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67" s="197"/>
      <c r="P67" s="71">
        <f>SUMIFS(ResourceAvailable[Amount Produced],ResourceAvailable[Resource],ResourceMonitor[[#This Row],[Resource]])</f>
        <v>0</v>
      </c>
      <c r="Q67" s="71">
        <f>SUMIFS(ResourceAvailable[Amount Consumed],ResourceAvailable[Resource],ResourceMonitor[[#This Row],[Resource]])</f>
        <v>0</v>
      </c>
      <c r="R67" s="71">
        <f>SUMIFS(ResourceAvailable[Amount Available for Resident Consumption],ResourceAvailable[Resource],ResourceMonitor[[#This Row],[Resource]])</f>
        <v>0</v>
      </c>
      <c r="S67" s="39">
        <f>MAX(0,ResourceMonitor[[#This Row],[Amount Available for Resident Consumption]]-SUMIFS(ConsumptionModel[Resource Demand],ConsumptionModel[Resource],ResourceMonitor[[#This Row],[Resource]]))</f>
        <v>0</v>
      </c>
      <c r="T67" s="39">
        <f>MIN(0,ResourceMonitor[[#This Row],[Amount Available for Resident Consumption]]-SUMIFS(ConsumptionModel[Resource Demand],ConsumptionModel[Resource],ResourceMonitor[[#This Row],[Resource]]))</f>
        <v>0</v>
      </c>
      <c r="U67" s="122">
        <f>IFERROR(INDEX(#REF!,MATCH(ResourceMonitor[[#This Row],[Resource]],#REF!,0)),0)</f>
        <v>0</v>
      </c>
      <c r="V67" s="194">
        <f>IFERROR(ResourceMonitor[[#This Row],[Amount Produced]]/ResourceMonitor[[#This Row],[Production Target]],0)</f>
        <v>0</v>
      </c>
      <c r="W67" s="133"/>
      <c r="X67" s="47">
        <f>IF(ResourceMonitor[[#This Row],[Ignore shipping needs?]]="Yes",0,ROUNDUP(ResourceMonitor[[#This Row],[Production Target]]/INDEX(ShipRequirementCalculator[Cargo capacity/h (return, 50% empty)],MATCH($X$15,ShipRequirementCalculator[Ship],0)),0))</f>
        <v>0</v>
      </c>
      <c r="Y67" s="47">
        <f>IF(ResourceMonitor[[#This Row],[Ignore shipping needs?]]="Yes",0,ROUNDUP(ResourceMonitor[[#This Row],[Production Target]]/INDEX(ShipRequirementCalculator[Cargo capacity/h (return, 50% empty)],MATCH($Y$15,ShipRequirementCalculator[Ship],0)),0))</f>
        <v>0</v>
      </c>
      <c r="Z67" s="47">
        <f>IF(ResourceMonitor[[#This Row],[Ignore shipping needs?]]="Yes",0,ROUNDUP(ResourceMonitor[[#This Row],[Production Target]]/INDEX(ShipRequirementCalculator[Cargo capacity/h (return, 50% empty)],MATCH($Z$15,ShipRequirementCalculator[Ship],0)),0))</f>
        <v>0</v>
      </c>
      <c r="AA67" s="124"/>
      <c r="AD67" s="83">
        <f>ROW()</f>
        <v>67</v>
      </c>
      <c r="AE67" s="106"/>
      <c r="AF67" s="72"/>
      <c r="AG67" s="18"/>
      <c r="AH67" s="18"/>
      <c r="AI67" s="156">
        <f>IFERROR(IslandModel[[#This Row],[Quantity]]/IslandModel[[#This Row],[Target Quantity]],0)</f>
        <v>0</v>
      </c>
      <c r="AJ67" s="61" t="str">
        <f>IFERROR(INDEX(Production[Resource Produced],MATCH(IslandModel[[#This Row],[Building]],Production[Building],0)),"")</f>
        <v/>
      </c>
      <c r="AK67" s="99">
        <f>IFERROR(IslandModel[[#This Row],[Quantity]]*INDEX(Production[Production in 1h],MATCH(IslandModel[[#This Row],[Building]],Production[Building],0))*IslandModel[[#This Row],[Input Consumption Multiplier]],0)</f>
        <v>0</v>
      </c>
      <c r="AL67" s="115">
        <f>100%</f>
        <v>1</v>
      </c>
      <c r="AM67"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67" s="77" t="str">
        <f>IFERROR(INDEX(Production[Input 1],MATCH(IslandModel[[#This Row],[Building]],Production[Building],0)),"")</f>
        <v/>
      </c>
      <c r="AO67" s="78"/>
      <c r="AP67"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67"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67"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67" s="35" t="str">
        <f>IFERROR(INDEX(Production[Input 2],MATCH(IslandModel[[#This Row],[Building]],Production[Building],0)),"")</f>
        <v/>
      </c>
      <c r="AT67" s="78"/>
      <c r="AU67"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67"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67"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67" s="35" t="str">
        <f>IFERROR(INDEX(Production[Input 3],MATCH(IslandModel[[#This Row],[Building]],Production[Building],0)),"")</f>
        <v/>
      </c>
      <c r="AY67" s="78"/>
      <c r="AZ67"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67"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67"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67" s="35" t="str">
        <f>IFERROR(INDEX(Production[Input 4],MATCH(IslandModel[[#This Row],[Building]],Production[Building],0)),"")</f>
        <v/>
      </c>
      <c r="BD67" s="78"/>
      <c r="BE67"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67"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67"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67" s="35" t="str">
        <f>IFERROR(INDEX(Production[Input 5],MATCH(IslandModel[[#This Row],[Building]],Production[Building],0)),"")</f>
        <v/>
      </c>
      <c r="BI67" s="78"/>
      <c r="BJ67"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67"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67"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67" s="35" t="str">
        <f>IFERROR(INDEX(Production[Input 6],MATCH(IslandModel[[#This Row],[Building]],Production[Building],0)),"")</f>
        <v/>
      </c>
      <c r="BN67" s="78"/>
      <c r="BO67"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67"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67"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67" s="35" t="str">
        <f>IFERROR(INDEX(Production[Input 7],MATCH(IslandModel[[#This Row],[Building]],Production[Building],0)),"")</f>
        <v/>
      </c>
      <c r="BS67" s="78"/>
      <c r="BT67"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67"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67"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67" s="35" t="str">
        <f>IFERROR(INDEX(Production[Input 8],MATCH(IslandModel[[#This Row],[Building]],Production[Building],0)),"")</f>
        <v/>
      </c>
      <c r="BX67" s="78"/>
      <c r="BY67"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67"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67"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67" s="35" t="str">
        <f>IFERROR(INDEX(Production[Input 9],MATCH(IslandModel[[#This Row],[Building]],Production[Building],0)),"")</f>
        <v/>
      </c>
      <c r="CC67" s="78"/>
      <c r="CD67"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67"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67"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67" s="35" t="str">
        <f>IFERROR(INDEX(Production[Input 10],MATCH(IslandModel[[#This Row],[Building]],Production[Building],0)),"")</f>
        <v/>
      </c>
      <c r="CH67" s="78"/>
      <c r="CI67"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67"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67"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67"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67" s="82" t="str">
        <f>IslandModel[[#This Row],[Resource Produced]]</f>
        <v/>
      </c>
      <c r="CN67" s="42">
        <f>IslandModel[[#This Row],[Amount produced/h]]</f>
        <v>0</v>
      </c>
      <c r="CO67" s="42" t="str">
        <f>IslandModel[[#This Row],[Input 1]]</f>
        <v/>
      </c>
      <c r="CP67" s="42">
        <f>-IslandModel[[#This Row],[Input 1 Consumed]]</f>
        <v>0</v>
      </c>
      <c r="CQ67" s="42" t="str">
        <f>IslandModel[[#This Row],[Input 2]]</f>
        <v/>
      </c>
      <c r="CR67" s="42">
        <f>-IslandModel[[#This Row],[Input 2 Consumed]]</f>
        <v>0</v>
      </c>
      <c r="CS67" s="42" t="str">
        <f>IslandModel[[#This Row],[Input 3]]</f>
        <v/>
      </c>
      <c r="CT67" s="42">
        <f>-IslandModel[[#This Row],[Input 3 Consumed]]</f>
        <v>0</v>
      </c>
      <c r="CU67" s="42" t="str">
        <f>IslandModel[[#This Row],[Input 4]]</f>
        <v/>
      </c>
      <c r="CV67" s="42">
        <f>-IslandModel[[#This Row],[Input 4 Consumed]]</f>
        <v>0</v>
      </c>
      <c r="CW67" s="42" t="str">
        <f>IslandModel[[#This Row],[Input 5]]</f>
        <v/>
      </c>
      <c r="CX67" s="42">
        <f>-IslandModel[[#This Row],[Input 5 Consumed]]</f>
        <v>0</v>
      </c>
      <c r="CY67" s="42" t="str">
        <f>IslandModel[[#This Row],[Input 6]]</f>
        <v/>
      </c>
      <c r="CZ67" s="42">
        <f>-IslandModel[[#This Row],[Input 6 Consumed]]</f>
        <v>0</v>
      </c>
      <c r="DA67" s="42" t="str">
        <f>IslandModel[[#This Row],[Input 7]]</f>
        <v/>
      </c>
      <c r="DB67" s="42">
        <f>-IslandModel[[#This Row],[Input 7 Consumed]]</f>
        <v>0</v>
      </c>
      <c r="DC67" s="42" t="str">
        <f>IslandModel[[#This Row],[Input 8]]</f>
        <v/>
      </c>
      <c r="DD67" s="42">
        <f>-IslandModel[[#This Row],[Input 8 Consumed]]</f>
        <v>0</v>
      </c>
      <c r="DE67" s="42" t="str">
        <f>IslandModel[[#This Row],[Input 9]]</f>
        <v/>
      </c>
      <c r="DF67" s="42">
        <f>-IslandModel[[#This Row],[Input 9 Consumed]]</f>
        <v>0</v>
      </c>
      <c r="DG67" s="42" t="str">
        <f>IslandModel[[#This Row],[Input 10]]</f>
        <v/>
      </c>
      <c r="DH67" s="42">
        <f>-IslandModel[[#This Row],[Input 10 Consumed]]</f>
        <v>0</v>
      </c>
      <c r="DJ67" t="s">
        <v>171</v>
      </c>
      <c r="DK67" s="39">
        <f>SUM(SUMIFS(IslandModel[Resource 1 Qty],IslandModel[Resource 1],ResourceAvailable[[#This Row],[Resource]]))</f>
        <v>0</v>
      </c>
      <c r="DL67"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67" s="39">
        <f>ResourceAvailable[[#This Row],[Amount Produced]]-ResourceAvailable[[#This Row],[Amount Consumed]]</f>
        <v>0</v>
      </c>
      <c r="DN67" s="20">
        <f>MAX(0,ResourceAvailable[[#This Row],[Amount Available for Resident Consumption]]-SUMIFS(ConsumptionModel[Resource Demand],ConsumptionModel[Resource],ResourceAvailable[[#This Row],[Resource]]))</f>
        <v>0</v>
      </c>
    </row>
    <row r="68" spans="2:118" ht="21" x14ac:dyDescent="0.65">
      <c r="B68" s="178">
        <f>ROW()</f>
        <v>68</v>
      </c>
      <c r="C68" s="70">
        <f>INDEX(ConsumptionModelInputs[Quantity],MATCH(ConsumptionModel[[#This Row],[Building]],ConsumptionModelInputs[Building],0))</f>
        <v>34</v>
      </c>
      <c r="D68" s="179" t="s">
        <v>59</v>
      </c>
      <c r="E68" s="179" t="s">
        <v>465</v>
      </c>
      <c r="F68" s="64" t="str">
        <f>IF(OR(ISBLANK(ConsumptionModel[[#This Row],[Building]]),ISBLANK(ConsumptionModel[[#This Row],[Resource]]))," - ",INDEX(Consumption[Type],MATCH(ConsumptionModel[[#This Row],[LookupValue]],Consumption[LookupValue],0)))</f>
        <v>Luxury</v>
      </c>
      <c r="G68" s="61" t="str">
        <f>IF(OR(ISBLANK(ConsumptionModel[[#This Row],[Building]]),ISBLANK(ConsumptionModel[[#This Row],[Resource]]))," - ",ConsumptionModel[[#This Row],[Building]]&amp;" - "&amp;ConsumptionModel[[#This Row],[Resource]])</f>
        <v>Paragon's Residence - Entertainment</v>
      </c>
      <c r="H68" s="62">
        <f>ConsumptionModel[[#This Row],[Quantity]]*INDEX(Consumption[Consumption/person/h],MATCH(ConsumptionModel[[#This Row],[LookupValue]],Consumption[LookupValue],0))*IFERROR(INDEX(ResidentBuildings[Residents],MATCH(ConsumptionModel[[#This Row],[Building]],ResidentBuildings[Building],0)),0)</f>
        <v>0</v>
      </c>
      <c r="I68"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68" s="65">
        <f>IF(ConsumptionModel[[#This Row],[Quantity]]=0,"",IF(AND(ConsumptionModel[[#This Row],[Resource Demand]]=0,ConsumptionModel[[#This Row],[Resource Available]]&gt;0),1,MIN(1,IFERROR(ConsumptionModel[[#This Row],[Resource Available]]/ConsumptionModel[[#This Row],[Resource Demand]],0))))</f>
        <v>0</v>
      </c>
      <c r="K68"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68" s="197"/>
      <c r="P68" s="71">
        <f>SUMIFS(ResourceAvailable[Amount Produced],ResourceAvailable[Resource],ResourceMonitor[[#This Row],[Resource]])</f>
        <v>0</v>
      </c>
      <c r="Q68" s="71">
        <f>SUMIFS(ResourceAvailable[Amount Consumed],ResourceAvailable[Resource],ResourceMonitor[[#This Row],[Resource]])</f>
        <v>0</v>
      </c>
      <c r="R68" s="71">
        <f>SUMIFS(ResourceAvailable[Amount Available for Resident Consumption],ResourceAvailable[Resource],ResourceMonitor[[#This Row],[Resource]])</f>
        <v>0</v>
      </c>
      <c r="S68" s="39">
        <f>MAX(0,ResourceMonitor[[#This Row],[Amount Available for Resident Consumption]]-SUMIFS(ConsumptionModel[Resource Demand],ConsumptionModel[Resource],ResourceMonitor[[#This Row],[Resource]]))</f>
        <v>0</v>
      </c>
      <c r="T68" s="39">
        <f>MIN(0,ResourceMonitor[[#This Row],[Amount Available for Resident Consumption]]-SUMIFS(ConsumptionModel[Resource Demand],ConsumptionModel[Resource],ResourceMonitor[[#This Row],[Resource]]))</f>
        <v>0</v>
      </c>
      <c r="U68" s="122">
        <f>IFERROR(INDEX(#REF!,MATCH(ResourceMonitor[[#This Row],[Resource]],#REF!,0)),0)</f>
        <v>0</v>
      </c>
      <c r="V68" s="194">
        <f>IFERROR(ResourceMonitor[[#This Row],[Amount Produced]]/ResourceMonitor[[#This Row],[Production Target]],0)</f>
        <v>0</v>
      </c>
      <c r="W68" s="133"/>
      <c r="X68" s="47">
        <f>IF(ResourceMonitor[[#This Row],[Ignore shipping needs?]]="Yes",0,ROUNDUP(ResourceMonitor[[#This Row],[Production Target]]/INDEX(ShipRequirementCalculator[Cargo capacity/h (return, 50% empty)],MATCH($X$15,ShipRequirementCalculator[Ship],0)),0))</f>
        <v>0</v>
      </c>
      <c r="Y68" s="47">
        <f>IF(ResourceMonitor[[#This Row],[Ignore shipping needs?]]="Yes",0,ROUNDUP(ResourceMonitor[[#This Row],[Production Target]]/INDEX(ShipRequirementCalculator[Cargo capacity/h (return, 50% empty)],MATCH($Y$15,ShipRequirementCalculator[Ship],0)),0))</f>
        <v>0</v>
      </c>
      <c r="Z68" s="47">
        <f>IF(ResourceMonitor[[#This Row],[Ignore shipping needs?]]="Yes",0,ROUNDUP(ResourceMonitor[[#This Row],[Production Target]]/INDEX(ShipRequirementCalculator[Cargo capacity/h (return, 50% empty)],MATCH($Z$15,ShipRequirementCalculator[Ship],0)),0))</f>
        <v>0</v>
      </c>
      <c r="AA68" s="124"/>
      <c r="AD68" s="83">
        <f>ROW()</f>
        <v>68</v>
      </c>
      <c r="AE68" s="106"/>
      <c r="AF68" s="72"/>
      <c r="AG68" s="18"/>
      <c r="AH68" s="18"/>
      <c r="AI68" s="156">
        <f>IFERROR(IslandModel[[#This Row],[Quantity]]/IslandModel[[#This Row],[Target Quantity]],0)</f>
        <v>0</v>
      </c>
      <c r="AJ68" s="61" t="str">
        <f>IFERROR(INDEX(Production[Resource Produced],MATCH(IslandModel[[#This Row],[Building]],Production[Building],0)),"")</f>
        <v/>
      </c>
      <c r="AK68" s="99">
        <f>IFERROR(IslandModel[[#This Row],[Quantity]]*INDEX(Production[Production in 1h],MATCH(IslandModel[[#This Row],[Building]],Production[Building],0))*IslandModel[[#This Row],[Input Consumption Multiplier]],0)</f>
        <v>0</v>
      </c>
      <c r="AL68" s="115">
        <f>100%</f>
        <v>1</v>
      </c>
      <c r="AM68"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68" s="77" t="str">
        <f>IFERROR(INDEX(Production[Input 1],MATCH(IslandModel[[#This Row],[Building]],Production[Building],0)),"")</f>
        <v/>
      </c>
      <c r="AO68" s="78"/>
      <c r="AP68"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68"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68"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68" s="35" t="str">
        <f>IFERROR(INDEX(Production[Input 2],MATCH(IslandModel[[#This Row],[Building]],Production[Building],0)),"")</f>
        <v/>
      </c>
      <c r="AT68" s="78"/>
      <c r="AU68"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68"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68"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68" s="35" t="str">
        <f>IFERROR(INDEX(Production[Input 3],MATCH(IslandModel[[#This Row],[Building]],Production[Building],0)),"")</f>
        <v/>
      </c>
      <c r="AY68" s="78"/>
      <c r="AZ68"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68"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68"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68" s="35" t="str">
        <f>IFERROR(INDEX(Production[Input 4],MATCH(IslandModel[[#This Row],[Building]],Production[Building],0)),"")</f>
        <v/>
      </c>
      <c r="BD68" s="78"/>
      <c r="BE68"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68"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68"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68" s="35" t="str">
        <f>IFERROR(INDEX(Production[Input 5],MATCH(IslandModel[[#This Row],[Building]],Production[Building],0)),"")</f>
        <v/>
      </c>
      <c r="BI68" s="78"/>
      <c r="BJ68"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68"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68"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68" s="35" t="str">
        <f>IFERROR(INDEX(Production[Input 6],MATCH(IslandModel[[#This Row],[Building]],Production[Building],0)),"")</f>
        <v/>
      </c>
      <c r="BN68" s="78"/>
      <c r="BO68"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68"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68"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68" s="35" t="str">
        <f>IFERROR(INDEX(Production[Input 7],MATCH(IslandModel[[#This Row],[Building]],Production[Building],0)),"")</f>
        <v/>
      </c>
      <c r="BS68" s="78"/>
      <c r="BT68"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68"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68"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68" s="35" t="str">
        <f>IFERROR(INDEX(Production[Input 8],MATCH(IslandModel[[#This Row],[Building]],Production[Building],0)),"")</f>
        <v/>
      </c>
      <c r="BX68" s="78"/>
      <c r="BY68"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68"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68"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68" s="35" t="str">
        <f>IFERROR(INDEX(Production[Input 9],MATCH(IslandModel[[#This Row],[Building]],Production[Building],0)),"")</f>
        <v/>
      </c>
      <c r="CC68" s="78"/>
      <c r="CD68"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68"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68"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68" s="35" t="str">
        <f>IFERROR(INDEX(Production[Input 10],MATCH(IslandModel[[#This Row],[Building]],Production[Building],0)),"")</f>
        <v/>
      </c>
      <c r="CH68" s="78"/>
      <c r="CI68"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68"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68"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68"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68" s="82" t="str">
        <f>IslandModel[[#This Row],[Resource Produced]]</f>
        <v/>
      </c>
      <c r="CN68" s="42">
        <f>IslandModel[[#This Row],[Amount produced/h]]</f>
        <v>0</v>
      </c>
      <c r="CO68" s="42" t="str">
        <f>IslandModel[[#This Row],[Input 1]]</f>
        <v/>
      </c>
      <c r="CP68" s="42">
        <f>-IslandModel[[#This Row],[Input 1 Consumed]]</f>
        <v>0</v>
      </c>
      <c r="CQ68" s="42" t="str">
        <f>IslandModel[[#This Row],[Input 2]]</f>
        <v/>
      </c>
      <c r="CR68" s="42">
        <f>-IslandModel[[#This Row],[Input 2 Consumed]]</f>
        <v>0</v>
      </c>
      <c r="CS68" s="42" t="str">
        <f>IslandModel[[#This Row],[Input 3]]</f>
        <v/>
      </c>
      <c r="CT68" s="42">
        <f>-IslandModel[[#This Row],[Input 3 Consumed]]</f>
        <v>0</v>
      </c>
      <c r="CU68" s="42" t="str">
        <f>IslandModel[[#This Row],[Input 4]]</f>
        <v/>
      </c>
      <c r="CV68" s="42">
        <f>-IslandModel[[#This Row],[Input 4 Consumed]]</f>
        <v>0</v>
      </c>
      <c r="CW68" s="42" t="str">
        <f>IslandModel[[#This Row],[Input 5]]</f>
        <v/>
      </c>
      <c r="CX68" s="42">
        <f>-IslandModel[[#This Row],[Input 5 Consumed]]</f>
        <v>0</v>
      </c>
      <c r="CY68" s="42" t="str">
        <f>IslandModel[[#This Row],[Input 6]]</f>
        <v/>
      </c>
      <c r="CZ68" s="42">
        <f>-IslandModel[[#This Row],[Input 6 Consumed]]</f>
        <v>0</v>
      </c>
      <c r="DA68" s="42" t="str">
        <f>IslandModel[[#This Row],[Input 7]]</f>
        <v/>
      </c>
      <c r="DB68" s="42">
        <f>-IslandModel[[#This Row],[Input 7 Consumed]]</f>
        <v>0</v>
      </c>
      <c r="DC68" s="42" t="str">
        <f>IslandModel[[#This Row],[Input 8]]</f>
        <v/>
      </c>
      <c r="DD68" s="42">
        <f>-IslandModel[[#This Row],[Input 8 Consumed]]</f>
        <v>0</v>
      </c>
      <c r="DE68" s="42" t="str">
        <f>IslandModel[[#This Row],[Input 9]]</f>
        <v/>
      </c>
      <c r="DF68" s="42">
        <f>-IslandModel[[#This Row],[Input 9 Consumed]]</f>
        <v>0</v>
      </c>
      <c r="DG68" s="42" t="str">
        <f>IslandModel[[#This Row],[Input 10]]</f>
        <v/>
      </c>
      <c r="DH68" s="42">
        <f>-IslandModel[[#This Row],[Input 10 Consumed]]</f>
        <v>0</v>
      </c>
      <c r="DJ68" t="s">
        <v>173</v>
      </c>
      <c r="DK68" s="39">
        <f>SUM(SUMIFS(IslandModel[Resource 1 Qty],IslandModel[Resource 1],ResourceAvailable[[#This Row],[Resource]]))</f>
        <v>0</v>
      </c>
      <c r="DL68"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68" s="39">
        <f>ResourceAvailable[[#This Row],[Amount Produced]]-ResourceAvailable[[#This Row],[Amount Consumed]]</f>
        <v>0</v>
      </c>
      <c r="DN68" s="20">
        <f>MAX(0,ResourceAvailable[[#This Row],[Amount Available for Resident Consumption]]-SUMIFS(ConsumptionModel[Resource Demand],ConsumptionModel[Resource],ResourceAvailable[[#This Row],[Resource]]))</f>
        <v>0</v>
      </c>
    </row>
    <row r="69" spans="2:118" ht="21" x14ac:dyDescent="0.65">
      <c r="B69" s="178">
        <f>ROW()</f>
        <v>69</v>
      </c>
      <c r="C69" s="70">
        <f>INDEX(ConsumptionModelInputs[Quantity],MATCH(ConsumptionModel[[#This Row],[Building]],ConsumptionModelInputs[Building],0))</f>
        <v>34</v>
      </c>
      <c r="D69" s="179" t="s">
        <v>59</v>
      </c>
      <c r="E69" s="179" t="s">
        <v>652</v>
      </c>
      <c r="F69" s="64" t="str">
        <f>IF(OR(ISBLANK(ConsumptionModel[[#This Row],[Building]]),ISBLANK(ConsumptionModel[[#This Row],[Resource]]))," - ",INDEX(Consumption[Type],MATCH(ConsumptionModel[[#This Row],[LookupValue]],Consumption[LookupValue],0)))</f>
        <v>Luxury</v>
      </c>
      <c r="G69" s="61" t="str">
        <f>IF(OR(ISBLANK(ConsumptionModel[[#This Row],[Building]]),ISBLANK(ConsumptionModel[[#This Row],[Resource]]))," - ",ConsumptionModel[[#This Row],[Building]]&amp;" - "&amp;ConsumptionModel[[#This Row],[Resource]])</f>
        <v>Paragon's Residence - Gambling</v>
      </c>
      <c r="H69" s="62">
        <f>ConsumptionModel[[#This Row],[Quantity]]*INDEX(Consumption[Consumption/person/h],MATCH(ConsumptionModel[[#This Row],[LookupValue]],Consumption[LookupValue],0))*IFERROR(INDEX(ResidentBuildings[Residents],MATCH(ConsumptionModel[[#This Row],[Building]],ResidentBuildings[Building],0)),0)</f>
        <v>0</v>
      </c>
      <c r="I69" s="62">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69" s="65">
        <f>IF(ConsumptionModel[[#This Row],[Quantity]]=0,"",IF(AND(ConsumptionModel[[#This Row],[Resource Demand]]=0,ConsumptionModel[[#This Row],[Resource Available]]&gt;0),1,MIN(1,IFERROR(ConsumptionModel[[#This Row],[Resource Available]]/ConsumptionModel[[#This Row],[Resource Demand]],0))))</f>
        <v>0</v>
      </c>
      <c r="K69" s="180">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69" s="197"/>
      <c r="P69" s="71">
        <f>SUMIFS(ResourceAvailable[Amount Produced],ResourceAvailable[Resource],ResourceMonitor[[#This Row],[Resource]])</f>
        <v>0</v>
      </c>
      <c r="Q69" s="71">
        <f>SUMIFS(ResourceAvailable[Amount Consumed],ResourceAvailable[Resource],ResourceMonitor[[#This Row],[Resource]])</f>
        <v>0</v>
      </c>
      <c r="R69" s="71">
        <f>SUMIFS(ResourceAvailable[Amount Available for Resident Consumption],ResourceAvailable[Resource],ResourceMonitor[[#This Row],[Resource]])</f>
        <v>0</v>
      </c>
      <c r="S69" s="39">
        <f>MAX(0,ResourceMonitor[[#This Row],[Amount Available for Resident Consumption]]-SUMIFS(ConsumptionModel[Resource Demand],ConsumptionModel[Resource],ResourceMonitor[[#This Row],[Resource]]))</f>
        <v>0</v>
      </c>
      <c r="T69" s="39">
        <f>MIN(0,ResourceMonitor[[#This Row],[Amount Available for Resident Consumption]]-SUMIFS(ConsumptionModel[Resource Demand],ConsumptionModel[Resource],ResourceMonitor[[#This Row],[Resource]]))</f>
        <v>0</v>
      </c>
      <c r="U69" s="122">
        <f>IFERROR(INDEX(#REF!,MATCH(ResourceMonitor[[#This Row],[Resource]],#REF!,0)),0)</f>
        <v>0</v>
      </c>
      <c r="V69" s="194">
        <f>IFERROR(ResourceMonitor[[#This Row],[Amount Produced]]/ResourceMonitor[[#This Row],[Production Target]],0)</f>
        <v>0</v>
      </c>
      <c r="W69" s="133"/>
      <c r="X69" s="47">
        <f>IF(ResourceMonitor[[#This Row],[Ignore shipping needs?]]="Yes",0,ROUNDUP(ResourceMonitor[[#This Row],[Production Target]]/INDEX(ShipRequirementCalculator[Cargo capacity/h (return, 50% empty)],MATCH($X$15,ShipRequirementCalculator[Ship],0)),0))</f>
        <v>0</v>
      </c>
      <c r="Y69" s="47">
        <f>IF(ResourceMonitor[[#This Row],[Ignore shipping needs?]]="Yes",0,ROUNDUP(ResourceMonitor[[#This Row],[Production Target]]/INDEX(ShipRequirementCalculator[Cargo capacity/h (return, 50% empty)],MATCH($Y$15,ShipRequirementCalculator[Ship],0)),0))</f>
        <v>0</v>
      </c>
      <c r="Z69" s="47">
        <f>IF(ResourceMonitor[[#This Row],[Ignore shipping needs?]]="Yes",0,ROUNDUP(ResourceMonitor[[#This Row],[Production Target]]/INDEX(ShipRequirementCalculator[Cargo capacity/h (return, 50% empty)],MATCH($Z$15,ShipRequirementCalculator[Ship],0)),0))</f>
        <v>0</v>
      </c>
      <c r="AA69" s="124"/>
      <c r="AD69" s="83">
        <f>ROW()</f>
        <v>69</v>
      </c>
      <c r="AE69" s="106"/>
      <c r="AF69" s="72"/>
      <c r="AG69" s="18"/>
      <c r="AH69" s="18"/>
      <c r="AI69" s="156">
        <f>IFERROR(IslandModel[[#This Row],[Quantity]]/IslandModel[[#This Row],[Target Quantity]],0)</f>
        <v>0</v>
      </c>
      <c r="AJ69" s="61" t="str">
        <f>IFERROR(INDEX(Production[Resource Produced],MATCH(IslandModel[[#This Row],[Building]],Production[Building],0)),"")</f>
        <v/>
      </c>
      <c r="AK69" s="99">
        <f>IFERROR(IslandModel[[#This Row],[Quantity]]*INDEX(Production[Production in 1h],MATCH(IslandModel[[#This Row],[Building]],Production[Building],0))*IslandModel[[#This Row],[Input Consumption Multiplier]],0)</f>
        <v>0</v>
      </c>
      <c r="AL69" s="115">
        <f>100%</f>
        <v>1</v>
      </c>
      <c r="AM69"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69" s="77" t="str">
        <f>IFERROR(INDEX(Production[Input 1],MATCH(IslandModel[[#This Row],[Building]],Production[Building],0)),"")</f>
        <v/>
      </c>
      <c r="AO69" s="78"/>
      <c r="AP69"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69"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69"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69" s="35" t="str">
        <f>IFERROR(INDEX(Production[Input 2],MATCH(IslandModel[[#This Row],[Building]],Production[Building],0)),"")</f>
        <v/>
      </c>
      <c r="AT69" s="78"/>
      <c r="AU69"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69"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69"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69" s="35" t="str">
        <f>IFERROR(INDEX(Production[Input 3],MATCH(IslandModel[[#This Row],[Building]],Production[Building],0)),"")</f>
        <v/>
      </c>
      <c r="AY69" s="78"/>
      <c r="AZ69"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69"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69"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69" s="35" t="str">
        <f>IFERROR(INDEX(Production[Input 4],MATCH(IslandModel[[#This Row],[Building]],Production[Building],0)),"")</f>
        <v/>
      </c>
      <c r="BD69" s="78"/>
      <c r="BE69"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69"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69"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69" s="35" t="str">
        <f>IFERROR(INDEX(Production[Input 5],MATCH(IslandModel[[#This Row],[Building]],Production[Building],0)),"")</f>
        <v/>
      </c>
      <c r="BI69" s="78"/>
      <c r="BJ69"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69"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69"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69" s="35" t="str">
        <f>IFERROR(INDEX(Production[Input 6],MATCH(IslandModel[[#This Row],[Building]],Production[Building],0)),"")</f>
        <v/>
      </c>
      <c r="BN69" s="78"/>
      <c r="BO69"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69"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69"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69" s="35" t="str">
        <f>IFERROR(INDEX(Production[Input 7],MATCH(IslandModel[[#This Row],[Building]],Production[Building],0)),"")</f>
        <v/>
      </c>
      <c r="BS69" s="78"/>
      <c r="BT69"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69"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69"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69" s="35" t="str">
        <f>IFERROR(INDEX(Production[Input 8],MATCH(IslandModel[[#This Row],[Building]],Production[Building],0)),"")</f>
        <v/>
      </c>
      <c r="BX69" s="78"/>
      <c r="BY69"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69"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69"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69" s="35" t="str">
        <f>IFERROR(INDEX(Production[Input 9],MATCH(IslandModel[[#This Row],[Building]],Production[Building],0)),"")</f>
        <v/>
      </c>
      <c r="CC69" s="78"/>
      <c r="CD69"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69"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69"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69" s="35" t="str">
        <f>IFERROR(INDEX(Production[Input 10],MATCH(IslandModel[[#This Row],[Building]],Production[Building],0)),"")</f>
        <v/>
      </c>
      <c r="CH69" s="78"/>
      <c r="CI69"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69"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69"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69"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69" s="82" t="str">
        <f>IslandModel[[#This Row],[Resource Produced]]</f>
        <v/>
      </c>
      <c r="CN69" s="42">
        <f>IslandModel[[#This Row],[Amount produced/h]]</f>
        <v>0</v>
      </c>
      <c r="CO69" s="42" t="str">
        <f>IslandModel[[#This Row],[Input 1]]</f>
        <v/>
      </c>
      <c r="CP69" s="42">
        <f>-IslandModel[[#This Row],[Input 1 Consumed]]</f>
        <v>0</v>
      </c>
      <c r="CQ69" s="42" t="str">
        <f>IslandModel[[#This Row],[Input 2]]</f>
        <v/>
      </c>
      <c r="CR69" s="42">
        <f>-IslandModel[[#This Row],[Input 2 Consumed]]</f>
        <v>0</v>
      </c>
      <c r="CS69" s="42" t="str">
        <f>IslandModel[[#This Row],[Input 3]]</f>
        <v/>
      </c>
      <c r="CT69" s="42">
        <f>-IslandModel[[#This Row],[Input 3 Consumed]]</f>
        <v>0</v>
      </c>
      <c r="CU69" s="42" t="str">
        <f>IslandModel[[#This Row],[Input 4]]</f>
        <v/>
      </c>
      <c r="CV69" s="42">
        <f>-IslandModel[[#This Row],[Input 4 Consumed]]</f>
        <v>0</v>
      </c>
      <c r="CW69" s="42" t="str">
        <f>IslandModel[[#This Row],[Input 5]]</f>
        <v/>
      </c>
      <c r="CX69" s="42">
        <f>-IslandModel[[#This Row],[Input 5 Consumed]]</f>
        <v>0</v>
      </c>
      <c r="CY69" s="42" t="str">
        <f>IslandModel[[#This Row],[Input 6]]</f>
        <v/>
      </c>
      <c r="CZ69" s="42">
        <f>-IslandModel[[#This Row],[Input 6 Consumed]]</f>
        <v>0</v>
      </c>
      <c r="DA69" s="42" t="str">
        <f>IslandModel[[#This Row],[Input 7]]</f>
        <v/>
      </c>
      <c r="DB69" s="42">
        <f>-IslandModel[[#This Row],[Input 7 Consumed]]</f>
        <v>0</v>
      </c>
      <c r="DC69" s="42" t="str">
        <f>IslandModel[[#This Row],[Input 8]]</f>
        <v/>
      </c>
      <c r="DD69" s="42">
        <f>-IslandModel[[#This Row],[Input 8 Consumed]]</f>
        <v>0</v>
      </c>
      <c r="DE69" s="42" t="str">
        <f>IslandModel[[#This Row],[Input 9]]</f>
        <v/>
      </c>
      <c r="DF69" s="42">
        <f>-IslandModel[[#This Row],[Input 9 Consumed]]</f>
        <v>0</v>
      </c>
      <c r="DG69" s="42" t="str">
        <f>IslandModel[[#This Row],[Input 10]]</f>
        <v/>
      </c>
      <c r="DH69" s="42">
        <f>-IslandModel[[#This Row],[Input 10 Consumed]]</f>
        <v>0</v>
      </c>
      <c r="DJ69" t="s">
        <v>169</v>
      </c>
      <c r="DK69" s="39">
        <f>SUM(SUMIFS(IslandModel[Resource 1 Qty],IslandModel[Resource 1],ResourceAvailable[[#This Row],[Resource]]))</f>
        <v>0</v>
      </c>
      <c r="DL69"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69" s="39">
        <f>ResourceAvailable[[#This Row],[Amount Produced]]-ResourceAvailable[[#This Row],[Amount Consumed]]</f>
        <v>0</v>
      </c>
      <c r="DN69" s="20">
        <f>MAX(0,ResourceAvailable[[#This Row],[Amount Available for Resident Consumption]]-SUMIFS(ConsumptionModel[Resource Demand],ConsumptionModel[Resource],ResourceAvailable[[#This Row],[Resource]]))</f>
        <v>0</v>
      </c>
    </row>
    <row r="70" spans="2:118" ht="21.4" thickBot="1" x14ac:dyDescent="0.7">
      <c r="B70" s="181">
        <f>ROW()</f>
        <v>70</v>
      </c>
      <c r="C70" s="182">
        <f>INDEX(ConsumptionModelInputs[Quantity],MATCH(ConsumptionModel[[#This Row],[Building]],ConsumptionModelInputs[Building],0))</f>
        <v>34</v>
      </c>
      <c r="D70" s="183" t="s">
        <v>59</v>
      </c>
      <c r="E70" s="183" t="s">
        <v>464</v>
      </c>
      <c r="F70" s="184" t="str">
        <f>IF(OR(ISBLANK(ConsumptionModel[[#This Row],[Building]]),ISBLANK(ConsumptionModel[[#This Row],[Resource]]))," - ",INDEX(Consumption[Type],MATCH(ConsumptionModel[[#This Row],[LookupValue]],Consumption[LookupValue],0)))</f>
        <v>Luxury</v>
      </c>
      <c r="G70" s="185" t="str">
        <f>IF(OR(ISBLANK(ConsumptionModel[[#This Row],[Building]]),ISBLANK(ConsumptionModel[[#This Row],[Resource]]))," - ",ConsumptionModel[[#This Row],[Building]]&amp;" - "&amp;ConsumptionModel[[#This Row],[Resource]])</f>
        <v>Paragon's Residence - University</v>
      </c>
      <c r="H70" s="186">
        <f>ConsumptionModel[[#This Row],[Quantity]]*INDEX(Consumption[Consumption/person/h],MATCH(ConsumptionModel[[#This Row],[LookupValue]],Consumption[LookupValue],0))*IFERROR(INDEX(ResidentBuildings[Residents],MATCH(ConsumptionModel[[#This Row],[Building]],ResidentBuildings[Building],0)),0)</f>
        <v>0</v>
      </c>
      <c r="I70" s="186">
        <f>IF(ConsumptionModel[[#This Row],[Quantity]]=0,"",IFERROR(MAX(0,INDEX(ResourceAvailable[Amount Available for Resident Consumption],MATCH(ConsumptionModel[[#This Row],[Resource]],ResourceAvailable[Resource],0))-SUMIFS(ConsumptionModel[Resource Demand],ConsumptionModel[ROW ID],"&lt;"&amp;ConsumptionModel[[#This Row],[ROW ID]],ConsumptionModel[Resource],ConsumptionModel[[#This Row],[Resource]])),0))</f>
        <v>0</v>
      </c>
      <c r="J70" s="187">
        <f>IF(ConsumptionModel[[#This Row],[Quantity]]=0,"",IF(AND(ConsumptionModel[[#This Row],[Resource Demand]]=0,ConsumptionModel[[#This Row],[Resource Available]]&gt;0),1,MIN(1,IFERROR(ConsumptionModel[[#This Row],[Resource Available]]/ConsumptionModel[[#This Row],[Resource Demand]],0))))</f>
        <v>0</v>
      </c>
      <c r="K70" s="188">
        <f>IF(ConsumptionModel[[#This Row],[Quantity]]=0,"",ConsumptionModel[[#This Row],[Quantity]]*INDEX(Consumption[Production/person/h],MATCH(ConsumptionModel[[#This Row],[LookupValue]],Consumption[LookupValue],0))*IFERROR(INDEX(ResidentBuildings[Residents],MATCH(ConsumptionModel[[#This Row],[Building]],ResidentBuildings[Building],0)),0)*ConsumptionModel[[#This Row],[Satisfaction]])</f>
        <v>0</v>
      </c>
      <c r="O70" s="197"/>
      <c r="P70" s="71">
        <f>SUMIFS(ResourceAvailable[Amount Produced],ResourceAvailable[Resource],ResourceMonitor[[#This Row],[Resource]])</f>
        <v>0</v>
      </c>
      <c r="Q70" s="71">
        <f>SUMIFS(ResourceAvailable[Amount Consumed],ResourceAvailable[Resource],ResourceMonitor[[#This Row],[Resource]])</f>
        <v>0</v>
      </c>
      <c r="R70" s="71">
        <f>SUMIFS(ResourceAvailable[Amount Available for Resident Consumption],ResourceAvailable[Resource],ResourceMonitor[[#This Row],[Resource]])</f>
        <v>0</v>
      </c>
      <c r="S70" s="39">
        <f>MAX(0,ResourceMonitor[[#This Row],[Amount Available for Resident Consumption]]-SUMIFS(ConsumptionModel[Resource Demand],ConsumptionModel[Resource],ResourceMonitor[[#This Row],[Resource]]))</f>
        <v>0</v>
      </c>
      <c r="T70" s="39">
        <f>MIN(0,ResourceMonitor[[#This Row],[Amount Available for Resident Consumption]]-SUMIFS(ConsumptionModel[Resource Demand],ConsumptionModel[Resource],ResourceMonitor[[#This Row],[Resource]]))</f>
        <v>0</v>
      </c>
      <c r="U70" s="122">
        <f>IFERROR(INDEX(#REF!,MATCH(ResourceMonitor[[#This Row],[Resource]],#REF!,0)),0)</f>
        <v>0</v>
      </c>
      <c r="V70" s="194">
        <f>IFERROR(ResourceMonitor[[#This Row],[Amount Produced]]/ResourceMonitor[[#This Row],[Production Target]],0)</f>
        <v>0</v>
      </c>
      <c r="W70" s="133"/>
      <c r="X70" s="47">
        <f>IF(ResourceMonitor[[#This Row],[Ignore shipping needs?]]="Yes",0,ROUNDUP(ResourceMonitor[[#This Row],[Production Target]]/INDEX(ShipRequirementCalculator[Cargo capacity/h (return, 50% empty)],MATCH($X$15,ShipRequirementCalculator[Ship],0)),0))</f>
        <v>0</v>
      </c>
      <c r="Y70" s="47">
        <f>IF(ResourceMonitor[[#This Row],[Ignore shipping needs?]]="Yes",0,ROUNDUP(ResourceMonitor[[#This Row],[Production Target]]/INDEX(ShipRequirementCalculator[Cargo capacity/h (return, 50% empty)],MATCH($Y$15,ShipRequirementCalculator[Ship],0)),0))</f>
        <v>0</v>
      </c>
      <c r="Z70" s="47">
        <f>IF(ResourceMonitor[[#This Row],[Ignore shipping needs?]]="Yes",0,ROUNDUP(ResourceMonitor[[#This Row],[Production Target]]/INDEX(ShipRequirementCalculator[Cargo capacity/h (return, 50% empty)],MATCH($Z$15,ShipRequirementCalculator[Ship],0)),0))</f>
        <v>0</v>
      </c>
      <c r="AA70" s="124"/>
      <c r="AD70" s="83">
        <f>ROW()</f>
        <v>70</v>
      </c>
      <c r="AE70" s="106"/>
      <c r="AF70" s="72"/>
      <c r="AG70" s="18"/>
      <c r="AH70" s="18"/>
      <c r="AI70" s="156">
        <f>IFERROR(IslandModel[[#This Row],[Quantity]]/IslandModel[[#This Row],[Target Quantity]],0)</f>
        <v>0</v>
      </c>
      <c r="AJ70" s="61" t="str">
        <f>IFERROR(INDEX(Production[Resource Produced],MATCH(IslandModel[[#This Row],[Building]],Production[Building],0)),"")</f>
        <v/>
      </c>
      <c r="AK70" s="99">
        <f>IFERROR(IslandModel[[#This Row],[Quantity]]*INDEX(Production[Production in 1h],MATCH(IslandModel[[#This Row],[Building]],Production[Building],0))*IslandModel[[#This Row],[Input Consumption Multiplier]],0)</f>
        <v>0</v>
      </c>
      <c r="AL70" s="115">
        <f>100%</f>
        <v>1</v>
      </c>
      <c r="AM70"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70" s="77" t="str">
        <f>IFERROR(INDEX(Production[Input 1],MATCH(IslandModel[[#This Row],[Building]],Production[Building],0)),"")</f>
        <v/>
      </c>
      <c r="AO70" s="78"/>
      <c r="AP70"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70"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70"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70" s="35" t="str">
        <f>IFERROR(INDEX(Production[Input 2],MATCH(IslandModel[[#This Row],[Building]],Production[Building],0)),"")</f>
        <v/>
      </c>
      <c r="AT70" s="78"/>
      <c r="AU70"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70"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70"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70" s="35" t="str">
        <f>IFERROR(INDEX(Production[Input 3],MATCH(IslandModel[[#This Row],[Building]],Production[Building],0)),"")</f>
        <v/>
      </c>
      <c r="AY70" s="78"/>
      <c r="AZ70"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70"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70"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70" s="35" t="str">
        <f>IFERROR(INDEX(Production[Input 4],MATCH(IslandModel[[#This Row],[Building]],Production[Building],0)),"")</f>
        <v/>
      </c>
      <c r="BD70" s="78"/>
      <c r="BE70"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70"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70"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70" s="35" t="str">
        <f>IFERROR(INDEX(Production[Input 5],MATCH(IslandModel[[#This Row],[Building]],Production[Building],0)),"")</f>
        <v/>
      </c>
      <c r="BI70" s="78"/>
      <c r="BJ70"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70"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70"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70" s="35" t="str">
        <f>IFERROR(INDEX(Production[Input 6],MATCH(IslandModel[[#This Row],[Building]],Production[Building],0)),"")</f>
        <v/>
      </c>
      <c r="BN70" s="78"/>
      <c r="BO70"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70"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70"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70" s="35" t="str">
        <f>IFERROR(INDEX(Production[Input 7],MATCH(IslandModel[[#This Row],[Building]],Production[Building],0)),"")</f>
        <v/>
      </c>
      <c r="BS70" s="78"/>
      <c r="BT70"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70"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70"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70" s="35" t="str">
        <f>IFERROR(INDEX(Production[Input 8],MATCH(IslandModel[[#This Row],[Building]],Production[Building],0)),"")</f>
        <v/>
      </c>
      <c r="BX70" s="78"/>
      <c r="BY70"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70"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70"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70" s="35" t="str">
        <f>IFERROR(INDEX(Production[Input 9],MATCH(IslandModel[[#This Row],[Building]],Production[Building],0)),"")</f>
        <v/>
      </c>
      <c r="CC70" s="78"/>
      <c r="CD70"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70"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70"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70" s="35" t="str">
        <f>IFERROR(INDEX(Production[Input 10],MATCH(IslandModel[[#This Row],[Building]],Production[Building],0)),"")</f>
        <v/>
      </c>
      <c r="CH70" s="78"/>
      <c r="CI70"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70"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70"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70"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70" s="82" t="str">
        <f>IslandModel[[#This Row],[Resource Produced]]</f>
        <v/>
      </c>
      <c r="CN70" s="42">
        <f>IslandModel[[#This Row],[Amount produced/h]]</f>
        <v>0</v>
      </c>
      <c r="CO70" s="42" t="str">
        <f>IslandModel[[#This Row],[Input 1]]</f>
        <v/>
      </c>
      <c r="CP70" s="42">
        <f>-IslandModel[[#This Row],[Input 1 Consumed]]</f>
        <v>0</v>
      </c>
      <c r="CQ70" s="42" t="str">
        <f>IslandModel[[#This Row],[Input 2]]</f>
        <v/>
      </c>
      <c r="CR70" s="42">
        <f>-IslandModel[[#This Row],[Input 2 Consumed]]</f>
        <v>0</v>
      </c>
      <c r="CS70" s="42" t="str">
        <f>IslandModel[[#This Row],[Input 3]]</f>
        <v/>
      </c>
      <c r="CT70" s="42">
        <f>-IslandModel[[#This Row],[Input 3 Consumed]]</f>
        <v>0</v>
      </c>
      <c r="CU70" s="42" t="str">
        <f>IslandModel[[#This Row],[Input 4]]</f>
        <v/>
      </c>
      <c r="CV70" s="42">
        <f>-IslandModel[[#This Row],[Input 4 Consumed]]</f>
        <v>0</v>
      </c>
      <c r="CW70" s="42" t="str">
        <f>IslandModel[[#This Row],[Input 5]]</f>
        <v/>
      </c>
      <c r="CX70" s="42">
        <f>-IslandModel[[#This Row],[Input 5 Consumed]]</f>
        <v>0</v>
      </c>
      <c r="CY70" s="42" t="str">
        <f>IslandModel[[#This Row],[Input 6]]</f>
        <v/>
      </c>
      <c r="CZ70" s="42">
        <f>-IslandModel[[#This Row],[Input 6 Consumed]]</f>
        <v>0</v>
      </c>
      <c r="DA70" s="42" t="str">
        <f>IslandModel[[#This Row],[Input 7]]</f>
        <v/>
      </c>
      <c r="DB70" s="42">
        <f>-IslandModel[[#This Row],[Input 7 Consumed]]</f>
        <v>0</v>
      </c>
      <c r="DC70" s="42" t="str">
        <f>IslandModel[[#This Row],[Input 8]]</f>
        <v/>
      </c>
      <c r="DD70" s="42">
        <f>-IslandModel[[#This Row],[Input 8 Consumed]]</f>
        <v>0</v>
      </c>
      <c r="DE70" s="42" t="str">
        <f>IslandModel[[#This Row],[Input 9]]</f>
        <v/>
      </c>
      <c r="DF70" s="42">
        <f>-IslandModel[[#This Row],[Input 9 Consumed]]</f>
        <v>0</v>
      </c>
      <c r="DG70" s="42" t="str">
        <f>IslandModel[[#This Row],[Input 10]]</f>
        <v/>
      </c>
      <c r="DH70" s="42">
        <f>-IslandModel[[#This Row],[Input 10 Consumed]]</f>
        <v>0</v>
      </c>
      <c r="DJ70" t="s">
        <v>380</v>
      </c>
      <c r="DK70" s="39">
        <f>SUM(SUMIFS(IslandModel[Resource 1 Qty],IslandModel[Resource 1],ResourceAvailable[[#This Row],[Resource]]))</f>
        <v>0</v>
      </c>
      <c r="DL70"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70" s="39">
        <f>ResourceAvailable[[#This Row],[Amount Produced]]-ResourceAvailable[[#This Row],[Amount Consumed]]</f>
        <v>0</v>
      </c>
      <c r="DN70" s="20">
        <f>MAX(0,ResourceAvailable[[#This Row],[Amount Available for Resident Consumption]]-SUMIFS(ConsumptionModel[Resource Demand],ConsumptionModel[Resource],ResourceAvailable[[#This Row],[Resource]]))</f>
        <v>0</v>
      </c>
    </row>
    <row r="71" spans="2:118" ht="21" x14ac:dyDescent="0.65">
      <c r="AD71" s="83">
        <f>ROW()</f>
        <v>71</v>
      </c>
      <c r="AE71" s="106"/>
      <c r="AF71" s="72"/>
      <c r="AG71" s="18"/>
      <c r="AH71" s="18"/>
      <c r="AI71" s="156">
        <f>IFERROR(IslandModel[[#This Row],[Quantity]]/IslandModel[[#This Row],[Target Quantity]],0)</f>
        <v>0</v>
      </c>
      <c r="AJ71" s="61" t="str">
        <f>IFERROR(INDEX(Production[Resource Produced],MATCH(IslandModel[[#This Row],[Building]],Production[Building],0)),"")</f>
        <v/>
      </c>
      <c r="AK71" s="99">
        <f>IFERROR(IslandModel[[#This Row],[Quantity]]*INDEX(Production[Production in 1h],MATCH(IslandModel[[#This Row],[Building]],Production[Building],0))*IslandModel[[#This Row],[Input Consumption Multiplier]],0)</f>
        <v>0</v>
      </c>
      <c r="AL71" s="115">
        <f>100%</f>
        <v>1</v>
      </c>
      <c r="AM71"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71" s="77" t="str">
        <f>IFERROR(INDEX(Production[Input 1],MATCH(IslandModel[[#This Row],[Building]],Production[Building],0)),"")</f>
        <v/>
      </c>
      <c r="AO71" s="78"/>
      <c r="AP71"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71"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71"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71" s="35" t="str">
        <f>IFERROR(INDEX(Production[Input 2],MATCH(IslandModel[[#This Row],[Building]],Production[Building],0)),"")</f>
        <v/>
      </c>
      <c r="AT71" s="78"/>
      <c r="AU71"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71"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71"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71" s="35" t="str">
        <f>IFERROR(INDEX(Production[Input 3],MATCH(IslandModel[[#This Row],[Building]],Production[Building],0)),"")</f>
        <v/>
      </c>
      <c r="AY71" s="78"/>
      <c r="AZ71"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71"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71"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71" s="35" t="str">
        <f>IFERROR(INDEX(Production[Input 4],MATCH(IslandModel[[#This Row],[Building]],Production[Building],0)),"")</f>
        <v/>
      </c>
      <c r="BD71" s="78"/>
      <c r="BE71"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71"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71"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71" s="35" t="str">
        <f>IFERROR(INDEX(Production[Input 5],MATCH(IslandModel[[#This Row],[Building]],Production[Building],0)),"")</f>
        <v/>
      </c>
      <c r="BI71" s="78"/>
      <c r="BJ71"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71"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71"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71" s="35" t="str">
        <f>IFERROR(INDEX(Production[Input 6],MATCH(IslandModel[[#This Row],[Building]],Production[Building],0)),"")</f>
        <v/>
      </c>
      <c r="BN71" s="78"/>
      <c r="BO71"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71"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71"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71" s="35" t="str">
        <f>IFERROR(INDEX(Production[Input 7],MATCH(IslandModel[[#This Row],[Building]],Production[Building],0)),"")</f>
        <v/>
      </c>
      <c r="BS71" s="78"/>
      <c r="BT71"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71"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71"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71" s="35" t="str">
        <f>IFERROR(INDEX(Production[Input 8],MATCH(IslandModel[[#This Row],[Building]],Production[Building],0)),"")</f>
        <v/>
      </c>
      <c r="BX71" s="78"/>
      <c r="BY71"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71"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71"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71" s="35" t="str">
        <f>IFERROR(INDEX(Production[Input 9],MATCH(IslandModel[[#This Row],[Building]],Production[Building],0)),"")</f>
        <v/>
      </c>
      <c r="CC71" s="78"/>
      <c r="CD71"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71"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71"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71" s="35" t="str">
        <f>IFERROR(INDEX(Production[Input 10],MATCH(IslandModel[[#This Row],[Building]],Production[Building],0)),"")</f>
        <v/>
      </c>
      <c r="CH71" s="78"/>
      <c r="CI71"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71"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71"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71"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71" s="82" t="str">
        <f>IslandModel[[#This Row],[Resource Produced]]</f>
        <v/>
      </c>
      <c r="CN71" s="42">
        <f>IslandModel[[#This Row],[Amount produced/h]]</f>
        <v>0</v>
      </c>
      <c r="CO71" s="42" t="str">
        <f>IslandModel[[#This Row],[Input 1]]</f>
        <v/>
      </c>
      <c r="CP71" s="42">
        <f>-IslandModel[[#This Row],[Input 1 Consumed]]</f>
        <v>0</v>
      </c>
      <c r="CQ71" s="42" t="str">
        <f>IslandModel[[#This Row],[Input 2]]</f>
        <v/>
      </c>
      <c r="CR71" s="42">
        <f>-IslandModel[[#This Row],[Input 2 Consumed]]</f>
        <v>0</v>
      </c>
      <c r="CS71" s="42" t="str">
        <f>IslandModel[[#This Row],[Input 3]]</f>
        <v/>
      </c>
      <c r="CT71" s="42">
        <f>-IslandModel[[#This Row],[Input 3 Consumed]]</f>
        <v>0</v>
      </c>
      <c r="CU71" s="42" t="str">
        <f>IslandModel[[#This Row],[Input 4]]</f>
        <v/>
      </c>
      <c r="CV71" s="42">
        <f>-IslandModel[[#This Row],[Input 4 Consumed]]</f>
        <v>0</v>
      </c>
      <c r="CW71" s="42" t="str">
        <f>IslandModel[[#This Row],[Input 5]]</f>
        <v/>
      </c>
      <c r="CX71" s="42">
        <f>-IslandModel[[#This Row],[Input 5 Consumed]]</f>
        <v>0</v>
      </c>
      <c r="CY71" s="42" t="str">
        <f>IslandModel[[#This Row],[Input 6]]</f>
        <v/>
      </c>
      <c r="CZ71" s="42">
        <f>-IslandModel[[#This Row],[Input 6 Consumed]]</f>
        <v>0</v>
      </c>
      <c r="DA71" s="42" t="str">
        <f>IslandModel[[#This Row],[Input 7]]</f>
        <v/>
      </c>
      <c r="DB71" s="42">
        <f>-IslandModel[[#This Row],[Input 7 Consumed]]</f>
        <v>0</v>
      </c>
      <c r="DC71" s="42" t="str">
        <f>IslandModel[[#This Row],[Input 8]]</f>
        <v/>
      </c>
      <c r="DD71" s="42">
        <f>-IslandModel[[#This Row],[Input 8 Consumed]]</f>
        <v>0</v>
      </c>
      <c r="DE71" s="42" t="str">
        <f>IslandModel[[#This Row],[Input 9]]</f>
        <v/>
      </c>
      <c r="DF71" s="42">
        <f>-IslandModel[[#This Row],[Input 9 Consumed]]</f>
        <v>0</v>
      </c>
      <c r="DG71" s="42" t="str">
        <f>IslandModel[[#This Row],[Input 10]]</f>
        <v/>
      </c>
      <c r="DH71" s="42">
        <f>-IslandModel[[#This Row],[Input 10 Consumed]]</f>
        <v>0</v>
      </c>
      <c r="DJ71" s="55" t="s">
        <v>388</v>
      </c>
      <c r="DK71" s="39">
        <f>SUM(SUMIFS(IslandModel[Resource 1 Qty],IslandModel[Resource 1],ResourceAvailable[[#This Row],[Resource]]))</f>
        <v>0</v>
      </c>
      <c r="DL71"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71" s="39">
        <f>ResourceAvailable[[#This Row],[Amount Produced]]-ResourceAvailable[[#This Row],[Amount Consumed]]</f>
        <v>0</v>
      </c>
      <c r="DN71" s="20">
        <f>MAX(0,ResourceAvailable[[#This Row],[Amount Available for Resident Consumption]]-SUMIFS(ConsumptionModel[Resource Demand],ConsumptionModel[Resource],ResourceAvailable[[#This Row],[Resource]]))</f>
        <v>0</v>
      </c>
    </row>
    <row r="72" spans="2:118" ht="21" x14ac:dyDescent="0.65">
      <c r="AD72" s="83">
        <f>ROW()</f>
        <v>72</v>
      </c>
      <c r="AE72" s="106"/>
      <c r="AF72" s="72"/>
      <c r="AG72" s="18"/>
      <c r="AH72" s="18"/>
      <c r="AI72" s="156">
        <f>IFERROR(IslandModel[[#This Row],[Quantity]]/IslandModel[[#This Row],[Target Quantity]],0)</f>
        <v>0</v>
      </c>
      <c r="AJ72" s="61" t="str">
        <f>IFERROR(INDEX(Production[Resource Produced],MATCH(IslandModel[[#This Row],[Building]],Production[Building],0)),"")</f>
        <v/>
      </c>
      <c r="AK72" s="99">
        <f>IFERROR(IslandModel[[#This Row],[Quantity]]*INDEX(Production[Production in 1h],MATCH(IslandModel[[#This Row],[Building]],Production[Building],0))*IslandModel[[#This Row],[Input Consumption Multiplier]],0)</f>
        <v>0</v>
      </c>
      <c r="AL72" s="115">
        <f>100%</f>
        <v>1</v>
      </c>
      <c r="AM72"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72" s="77" t="str">
        <f>IFERROR(INDEX(Production[Input 1],MATCH(IslandModel[[#This Row],[Building]],Production[Building],0)),"")</f>
        <v/>
      </c>
      <c r="AO72" s="78"/>
      <c r="AP72"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72"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72"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72" s="35" t="str">
        <f>IFERROR(INDEX(Production[Input 2],MATCH(IslandModel[[#This Row],[Building]],Production[Building],0)),"")</f>
        <v/>
      </c>
      <c r="AT72" s="78"/>
      <c r="AU72"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72"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72"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72" s="35" t="str">
        <f>IFERROR(INDEX(Production[Input 3],MATCH(IslandModel[[#This Row],[Building]],Production[Building],0)),"")</f>
        <v/>
      </c>
      <c r="AY72" s="78"/>
      <c r="AZ72"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72"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72"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72" s="35" t="str">
        <f>IFERROR(INDEX(Production[Input 4],MATCH(IslandModel[[#This Row],[Building]],Production[Building],0)),"")</f>
        <v/>
      </c>
      <c r="BD72" s="78"/>
      <c r="BE72"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72"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72"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72" s="35" t="str">
        <f>IFERROR(INDEX(Production[Input 5],MATCH(IslandModel[[#This Row],[Building]],Production[Building],0)),"")</f>
        <v/>
      </c>
      <c r="BI72" s="78"/>
      <c r="BJ72"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72"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72"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72" s="35" t="str">
        <f>IFERROR(INDEX(Production[Input 6],MATCH(IslandModel[[#This Row],[Building]],Production[Building],0)),"")</f>
        <v/>
      </c>
      <c r="BN72" s="78"/>
      <c r="BO72"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72"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72"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72" s="35" t="str">
        <f>IFERROR(INDEX(Production[Input 7],MATCH(IslandModel[[#This Row],[Building]],Production[Building],0)),"")</f>
        <v/>
      </c>
      <c r="BS72" s="78"/>
      <c r="BT72"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72"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72"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72" s="35" t="str">
        <f>IFERROR(INDEX(Production[Input 8],MATCH(IslandModel[[#This Row],[Building]],Production[Building],0)),"")</f>
        <v/>
      </c>
      <c r="BX72" s="78"/>
      <c r="BY72"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72"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72"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72" s="35" t="str">
        <f>IFERROR(INDEX(Production[Input 9],MATCH(IslandModel[[#This Row],[Building]],Production[Building],0)),"")</f>
        <v/>
      </c>
      <c r="CC72" s="78"/>
      <c r="CD72"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72"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72"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72" s="35" t="str">
        <f>IFERROR(INDEX(Production[Input 10],MATCH(IslandModel[[#This Row],[Building]],Production[Building],0)),"")</f>
        <v/>
      </c>
      <c r="CH72" s="78"/>
      <c r="CI72"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72"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72"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72"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72" s="82" t="str">
        <f>IslandModel[[#This Row],[Resource Produced]]</f>
        <v/>
      </c>
      <c r="CN72" s="42">
        <f>IslandModel[[#This Row],[Amount produced/h]]</f>
        <v>0</v>
      </c>
      <c r="CO72" s="42" t="str">
        <f>IslandModel[[#This Row],[Input 1]]</f>
        <v/>
      </c>
      <c r="CP72" s="42">
        <f>-IslandModel[[#This Row],[Input 1 Consumed]]</f>
        <v>0</v>
      </c>
      <c r="CQ72" s="42" t="str">
        <f>IslandModel[[#This Row],[Input 2]]</f>
        <v/>
      </c>
      <c r="CR72" s="42">
        <f>-IslandModel[[#This Row],[Input 2 Consumed]]</f>
        <v>0</v>
      </c>
      <c r="CS72" s="42" t="str">
        <f>IslandModel[[#This Row],[Input 3]]</f>
        <v/>
      </c>
      <c r="CT72" s="42">
        <f>-IslandModel[[#This Row],[Input 3 Consumed]]</f>
        <v>0</v>
      </c>
      <c r="CU72" s="42" t="str">
        <f>IslandModel[[#This Row],[Input 4]]</f>
        <v/>
      </c>
      <c r="CV72" s="42">
        <f>-IslandModel[[#This Row],[Input 4 Consumed]]</f>
        <v>0</v>
      </c>
      <c r="CW72" s="42" t="str">
        <f>IslandModel[[#This Row],[Input 5]]</f>
        <v/>
      </c>
      <c r="CX72" s="42">
        <f>-IslandModel[[#This Row],[Input 5 Consumed]]</f>
        <v>0</v>
      </c>
      <c r="CY72" s="42" t="str">
        <f>IslandModel[[#This Row],[Input 6]]</f>
        <v/>
      </c>
      <c r="CZ72" s="42">
        <f>-IslandModel[[#This Row],[Input 6 Consumed]]</f>
        <v>0</v>
      </c>
      <c r="DA72" s="42" t="str">
        <f>IslandModel[[#This Row],[Input 7]]</f>
        <v/>
      </c>
      <c r="DB72" s="42">
        <f>-IslandModel[[#This Row],[Input 7 Consumed]]</f>
        <v>0</v>
      </c>
      <c r="DC72" s="42" t="str">
        <f>IslandModel[[#This Row],[Input 8]]</f>
        <v/>
      </c>
      <c r="DD72" s="42">
        <f>-IslandModel[[#This Row],[Input 8 Consumed]]</f>
        <v>0</v>
      </c>
      <c r="DE72" s="42" t="str">
        <f>IslandModel[[#This Row],[Input 9]]</f>
        <v/>
      </c>
      <c r="DF72" s="42">
        <f>-IslandModel[[#This Row],[Input 9 Consumed]]</f>
        <v>0</v>
      </c>
      <c r="DG72" s="42" t="str">
        <f>IslandModel[[#This Row],[Input 10]]</f>
        <v/>
      </c>
      <c r="DH72" s="42">
        <f>-IslandModel[[#This Row],[Input 10 Consumed]]</f>
        <v>0</v>
      </c>
      <c r="DJ72" s="55" t="s">
        <v>375</v>
      </c>
      <c r="DK72" s="39">
        <f>SUM(SUMIFS(IslandModel[Resource 1 Qty],IslandModel[Resource 1],ResourceAvailable[[#This Row],[Resource]]))</f>
        <v>0</v>
      </c>
      <c r="DL72"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72" s="39">
        <f>ResourceAvailable[[#This Row],[Amount Produced]]-ResourceAvailable[[#This Row],[Amount Consumed]]</f>
        <v>0</v>
      </c>
      <c r="DN72" s="20">
        <f>MAX(0,ResourceAvailable[[#This Row],[Amount Available for Resident Consumption]]-SUMIFS(ConsumptionModel[Resource Demand],ConsumptionModel[Resource],ResourceAvailable[[#This Row],[Resource]]))</f>
        <v>0</v>
      </c>
    </row>
    <row r="73" spans="2:118" ht="21" x14ac:dyDescent="0.65">
      <c r="AD73" s="83">
        <f>ROW()</f>
        <v>73</v>
      </c>
      <c r="AE73" s="106"/>
      <c r="AF73" s="72"/>
      <c r="AG73" s="18"/>
      <c r="AH73" s="18"/>
      <c r="AI73" s="156">
        <f>IFERROR(IslandModel[[#This Row],[Quantity]]/IslandModel[[#This Row],[Target Quantity]],0)</f>
        <v>0</v>
      </c>
      <c r="AJ73" s="61" t="str">
        <f>IFERROR(INDEX(Production[Resource Produced],MATCH(IslandModel[[#This Row],[Building]],Production[Building],0)),"")</f>
        <v/>
      </c>
      <c r="AK73" s="99">
        <f>IFERROR(IslandModel[[#This Row],[Quantity]]*INDEX(Production[Production in 1h],MATCH(IslandModel[[#This Row],[Building]],Production[Building],0))*IslandModel[[#This Row],[Input Consumption Multiplier]],0)</f>
        <v>0</v>
      </c>
      <c r="AL73" s="115">
        <f>100%</f>
        <v>1</v>
      </c>
      <c r="AM73"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73" s="77" t="str">
        <f>IFERROR(INDEX(Production[Input 1],MATCH(IslandModel[[#This Row],[Building]],Production[Building],0)),"")</f>
        <v/>
      </c>
      <c r="AO73" s="78"/>
      <c r="AP73"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73"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73"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73" s="35" t="str">
        <f>IFERROR(INDEX(Production[Input 2],MATCH(IslandModel[[#This Row],[Building]],Production[Building],0)),"")</f>
        <v/>
      </c>
      <c r="AT73" s="78"/>
      <c r="AU73"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73"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73"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73" s="35" t="str">
        <f>IFERROR(INDEX(Production[Input 3],MATCH(IslandModel[[#This Row],[Building]],Production[Building],0)),"")</f>
        <v/>
      </c>
      <c r="AY73" s="78"/>
      <c r="AZ73"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73"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73"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73" s="35" t="str">
        <f>IFERROR(INDEX(Production[Input 4],MATCH(IslandModel[[#This Row],[Building]],Production[Building],0)),"")</f>
        <v/>
      </c>
      <c r="BD73" s="78"/>
      <c r="BE73"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73"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73"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73" s="35" t="str">
        <f>IFERROR(INDEX(Production[Input 5],MATCH(IslandModel[[#This Row],[Building]],Production[Building],0)),"")</f>
        <v/>
      </c>
      <c r="BI73" s="78"/>
      <c r="BJ73"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73"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73"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73" s="35" t="str">
        <f>IFERROR(INDEX(Production[Input 6],MATCH(IslandModel[[#This Row],[Building]],Production[Building],0)),"")</f>
        <v/>
      </c>
      <c r="BN73" s="78"/>
      <c r="BO73"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73"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73"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73" s="35" t="str">
        <f>IFERROR(INDEX(Production[Input 7],MATCH(IslandModel[[#This Row],[Building]],Production[Building],0)),"")</f>
        <v/>
      </c>
      <c r="BS73" s="78"/>
      <c r="BT73"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73"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73"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73" s="35" t="str">
        <f>IFERROR(INDEX(Production[Input 8],MATCH(IslandModel[[#This Row],[Building]],Production[Building],0)),"")</f>
        <v/>
      </c>
      <c r="BX73" s="78"/>
      <c r="BY73"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73"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73"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73" s="35" t="str">
        <f>IFERROR(INDEX(Production[Input 9],MATCH(IslandModel[[#This Row],[Building]],Production[Building],0)),"")</f>
        <v/>
      </c>
      <c r="CC73" s="78"/>
      <c r="CD73"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73"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73"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73" s="35" t="str">
        <f>IFERROR(INDEX(Production[Input 10],MATCH(IslandModel[[#This Row],[Building]],Production[Building],0)),"")</f>
        <v/>
      </c>
      <c r="CH73" s="78"/>
      <c r="CI73"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73"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73"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73"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73" s="82" t="str">
        <f>IslandModel[[#This Row],[Resource Produced]]</f>
        <v/>
      </c>
      <c r="CN73" s="42">
        <f>IslandModel[[#This Row],[Amount produced/h]]</f>
        <v>0</v>
      </c>
      <c r="CO73" s="42" t="str">
        <f>IslandModel[[#This Row],[Input 1]]</f>
        <v/>
      </c>
      <c r="CP73" s="42">
        <f>-IslandModel[[#This Row],[Input 1 Consumed]]</f>
        <v>0</v>
      </c>
      <c r="CQ73" s="42" t="str">
        <f>IslandModel[[#This Row],[Input 2]]</f>
        <v/>
      </c>
      <c r="CR73" s="42">
        <f>-IslandModel[[#This Row],[Input 2 Consumed]]</f>
        <v>0</v>
      </c>
      <c r="CS73" s="42" t="str">
        <f>IslandModel[[#This Row],[Input 3]]</f>
        <v/>
      </c>
      <c r="CT73" s="42">
        <f>-IslandModel[[#This Row],[Input 3 Consumed]]</f>
        <v>0</v>
      </c>
      <c r="CU73" s="42" t="str">
        <f>IslandModel[[#This Row],[Input 4]]</f>
        <v/>
      </c>
      <c r="CV73" s="42">
        <f>-IslandModel[[#This Row],[Input 4 Consumed]]</f>
        <v>0</v>
      </c>
      <c r="CW73" s="42" t="str">
        <f>IslandModel[[#This Row],[Input 5]]</f>
        <v/>
      </c>
      <c r="CX73" s="42">
        <f>-IslandModel[[#This Row],[Input 5 Consumed]]</f>
        <v>0</v>
      </c>
      <c r="CY73" s="42" t="str">
        <f>IslandModel[[#This Row],[Input 6]]</f>
        <v/>
      </c>
      <c r="CZ73" s="42">
        <f>-IslandModel[[#This Row],[Input 6 Consumed]]</f>
        <v>0</v>
      </c>
      <c r="DA73" s="42" t="str">
        <f>IslandModel[[#This Row],[Input 7]]</f>
        <v/>
      </c>
      <c r="DB73" s="42">
        <f>-IslandModel[[#This Row],[Input 7 Consumed]]</f>
        <v>0</v>
      </c>
      <c r="DC73" s="42" t="str">
        <f>IslandModel[[#This Row],[Input 8]]</f>
        <v/>
      </c>
      <c r="DD73" s="42">
        <f>-IslandModel[[#This Row],[Input 8 Consumed]]</f>
        <v>0</v>
      </c>
      <c r="DE73" s="42" t="str">
        <f>IslandModel[[#This Row],[Input 9]]</f>
        <v/>
      </c>
      <c r="DF73" s="42">
        <f>-IslandModel[[#This Row],[Input 9 Consumed]]</f>
        <v>0</v>
      </c>
      <c r="DG73" s="42" t="str">
        <f>IslandModel[[#This Row],[Input 10]]</f>
        <v/>
      </c>
      <c r="DH73" s="42">
        <f>-IslandModel[[#This Row],[Input 10 Consumed]]</f>
        <v>0</v>
      </c>
      <c r="DJ73" t="s">
        <v>140</v>
      </c>
      <c r="DK73" s="39">
        <f>SUM(SUMIFS(IslandModel[Resource 1 Qty],IslandModel[Resource 1],ResourceAvailable[[#This Row],[Resource]]))</f>
        <v>0</v>
      </c>
      <c r="DL73"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73" s="39">
        <f>ResourceAvailable[[#This Row],[Amount Produced]]-ResourceAvailable[[#This Row],[Amount Consumed]]</f>
        <v>0</v>
      </c>
      <c r="DN73" s="20">
        <f>MAX(0,ResourceAvailable[[#This Row],[Amount Available for Resident Consumption]]-SUMIFS(ConsumptionModel[Resource Demand],ConsumptionModel[Resource],ResourceAvailable[[#This Row],[Resource]]))</f>
        <v>0</v>
      </c>
    </row>
    <row r="74" spans="2:118" ht="21" x14ac:dyDescent="0.65">
      <c r="AD74" s="83">
        <f>ROW()</f>
        <v>74</v>
      </c>
      <c r="AE74" s="106"/>
      <c r="AF74" s="72"/>
      <c r="AG74" s="18"/>
      <c r="AH74" s="18"/>
      <c r="AI74" s="156">
        <f>IFERROR(IslandModel[[#This Row],[Quantity]]/IslandModel[[#This Row],[Target Quantity]],0)</f>
        <v>0</v>
      </c>
      <c r="AJ74" s="61" t="str">
        <f>IFERROR(INDEX(Production[Resource Produced],MATCH(IslandModel[[#This Row],[Building]],Production[Building],0)),"")</f>
        <v/>
      </c>
      <c r="AK74" s="99">
        <f>IFERROR(IslandModel[[#This Row],[Quantity]]*INDEX(Production[Production in 1h],MATCH(IslandModel[[#This Row],[Building]],Production[Building],0))*IslandModel[[#This Row],[Input Consumption Multiplier]],0)</f>
        <v>0</v>
      </c>
      <c r="AL74" s="115">
        <f>100%</f>
        <v>1</v>
      </c>
      <c r="AM74"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74" s="77" t="str">
        <f>IFERROR(INDEX(Production[Input 1],MATCH(IslandModel[[#This Row],[Building]],Production[Building],0)),"")</f>
        <v/>
      </c>
      <c r="AO74" s="78"/>
      <c r="AP74"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74"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74"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74" s="35" t="str">
        <f>IFERROR(INDEX(Production[Input 2],MATCH(IslandModel[[#This Row],[Building]],Production[Building],0)),"")</f>
        <v/>
      </c>
      <c r="AT74" s="78"/>
      <c r="AU74"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74"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74"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74" s="35" t="str">
        <f>IFERROR(INDEX(Production[Input 3],MATCH(IslandModel[[#This Row],[Building]],Production[Building],0)),"")</f>
        <v/>
      </c>
      <c r="AY74" s="78"/>
      <c r="AZ74"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74"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74"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74" s="35" t="str">
        <f>IFERROR(INDEX(Production[Input 4],MATCH(IslandModel[[#This Row],[Building]],Production[Building],0)),"")</f>
        <v/>
      </c>
      <c r="BD74" s="78"/>
      <c r="BE74"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74"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74"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74" s="35" t="str">
        <f>IFERROR(INDEX(Production[Input 5],MATCH(IslandModel[[#This Row],[Building]],Production[Building],0)),"")</f>
        <v/>
      </c>
      <c r="BI74" s="78"/>
      <c r="BJ74"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74"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74"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74" s="35" t="str">
        <f>IFERROR(INDEX(Production[Input 6],MATCH(IslandModel[[#This Row],[Building]],Production[Building],0)),"")</f>
        <v/>
      </c>
      <c r="BN74" s="78"/>
      <c r="BO74"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74"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74"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74" s="35" t="str">
        <f>IFERROR(INDEX(Production[Input 7],MATCH(IslandModel[[#This Row],[Building]],Production[Building],0)),"")</f>
        <v/>
      </c>
      <c r="BS74" s="78"/>
      <c r="BT74"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74"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74"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74" s="35" t="str">
        <f>IFERROR(INDEX(Production[Input 8],MATCH(IslandModel[[#This Row],[Building]],Production[Building],0)),"")</f>
        <v/>
      </c>
      <c r="BX74" s="78"/>
      <c r="BY74"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74"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74"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74" s="35" t="str">
        <f>IFERROR(INDEX(Production[Input 9],MATCH(IslandModel[[#This Row],[Building]],Production[Building],0)),"")</f>
        <v/>
      </c>
      <c r="CC74" s="78"/>
      <c r="CD74"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74"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74"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74" s="35" t="str">
        <f>IFERROR(INDEX(Production[Input 10],MATCH(IslandModel[[#This Row],[Building]],Production[Building],0)),"")</f>
        <v/>
      </c>
      <c r="CH74" s="78"/>
      <c r="CI74"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74"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74"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74"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74" s="82" t="str">
        <f>IslandModel[[#This Row],[Resource Produced]]</f>
        <v/>
      </c>
      <c r="CN74" s="42">
        <f>IslandModel[[#This Row],[Amount produced/h]]</f>
        <v>0</v>
      </c>
      <c r="CO74" s="42" t="str">
        <f>IslandModel[[#This Row],[Input 1]]</f>
        <v/>
      </c>
      <c r="CP74" s="42">
        <f>-IslandModel[[#This Row],[Input 1 Consumed]]</f>
        <v>0</v>
      </c>
      <c r="CQ74" s="42" t="str">
        <f>IslandModel[[#This Row],[Input 2]]</f>
        <v/>
      </c>
      <c r="CR74" s="42">
        <f>-IslandModel[[#This Row],[Input 2 Consumed]]</f>
        <v>0</v>
      </c>
      <c r="CS74" s="42" t="str">
        <f>IslandModel[[#This Row],[Input 3]]</f>
        <v/>
      </c>
      <c r="CT74" s="42">
        <f>-IslandModel[[#This Row],[Input 3 Consumed]]</f>
        <v>0</v>
      </c>
      <c r="CU74" s="42" t="str">
        <f>IslandModel[[#This Row],[Input 4]]</f>
        <v/>
      </c>
      <c r="CV74" s="42">
        <f>-IslandModel[[#This Row],[Input 4 Consumed]]</f>
        <v>0</v>
      </c>
      <c r="CW74" s="42" t="str">
        <f>IslandModel[[#This Row],[Input 5]]</f>
        <v/>
      </c>
      <c r="CX74" s="42">
        <f>-IslandModel[[#This Row],[Input 5 Consumed]]</f>
        <v>0</v>
      </c>
      <c r="CY74" s="42" t="str">
        <f>IslandModel[[#This Row],[Input 6]]</f>
        <v/>
      </c>
      <c r="CZ74" s="42">
        <f>-IslandModel[[#This Row],[Input 6 Consumed]]</f>
        <v>0</v>
      </c>
      <c r="DA74" s="42" t="str">
        <f>IslandModel[[#This Row],[Input 7]]</f>
        <v/>
      </c>
      <c r="DB74" s="42">
        <f>-IslandModel[[#This Row],[Input 7 Consumed]]</f>
        <v>0</v>
      </c>
      <c r="DC74" s="42" t="str">
        <f>IslandModel[[#This Row],[Input 8]]</f>
        <v/>
      </c>
      <c r="DD74" s="42">
        <f>-IslandModel[[#This Row],[Input 8 Consumed]]</f>
        <v>0</v>
      </c>
      <c r="DE74" s="42" t="str">
        <f>IslandModel[[#This Row],[Input 9]]</f>
        <v/>
      </c>
      <c r="DF74" s="42">
        <f>-IslandModel[[#This Row],[Input 9 Consumed]]</f>
        <v>0</v>
      </c>
      <c r="DG74" s="42" t="str">
        <f>IslandModel[[#This Row],[Input 10]]</f>
        <v/>
      </c>
      <c r="DH74" s="42">
        <f>-IslandModel[[#This Row],[Input 10 Consumed]]</f>
        <v>0</v>
      </c>
      <c r="DJ74" t="s">
        <v>110</v>
      </c>
      <c r="DK74" s="39">
        <f>SUM(SUMIFS(IslandModel[Resource 1 Qty],IslandModel[Resource 1],ResourceAvailable[[#This Row],[Resource]]))</f>
        <v>0</v>
      </c>
      <c r="DL74"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74" s="39">
        <f>ResourceAvailable[[#This Row],[Amount Produced]]-ResourceAvailable[[#This Row],[Amount Consumed]]</f>
        <v>0</v>
      </c>
      <c r="DN74" s="58">
        <f>MAX(0,ResourceAvailable[[#This Row],[Amount Available for Resident Consumption]]-SUMIFS(ConsumptionModel[Resource Demand],ConsumptionModel[Resource],ResourceAvailable[[#This Row],[Resource]]))</f>
        <v>0</v>
      </c>
    </row>
    <row r="75" spans="2:118" ht="21" x14ac:dyDescent="0.65">
      <c r="AD75" s="83">
        <f>ROW()</f>
        <v>75</v>
      </c>
      <c r="AE75" s="106"/>
      <c r="AF75" s="72"/>
      <c r="AG75" s="18"/>
      <c r="AH75" s="18"/>
      <c r="AI75" s="156">
        <f>IFERROR(IslandModel[[#This Row],[Quantity]]/IslandModel[[#This Row],[Target Quantity]],0)</f>
        <v>0</v>
      </c>
      <c r="AJ75" s="61" t="str">
        <f>IFERROR(INDEX(Production[Resource Produced],MATCH(IslandModel[[#This Row],[Building]],Production[Building],0)),"")</f>
        <v/>
      </c>
      <c r="AK75" s="99">
        <f>IFERROR(IslandModel[[#This Row],[Quantity]]*INDEX(Production[Production in 1h],MATCH(IslandModel[[#This Row],[Building]],Production[Building],0))*IslandModel[[#This Row],[Input Consumption Multiplier]],0)</f>
        <v>0</v>
      </c>
      <c r="AL75" s="115">
        <f>100%</f>
        <v>1</v>
      </c>
      <c r="AM75"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75" s="77" t="str">
        <f>IFERROR(INDEX(Production[Input 1],MATCH(IslandModel[[#This Row],[Building]],Production[Building],0)),"")</f>
        <v/>
      </c>
      <c r="AO75" s="78"/>
      <c r="AP75"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75"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75"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75" s="35" t="str">
        <f>IFERROR(INDEX(Production[Input 2],MATCH(IslandModel[[#This Row],[Building]],Production[Building],0)),"")</f>
        <v/>
      </c>
      <c r="AT75" s="78"/>
      <c r="AU75"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75"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75"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75" s="35" t="str">
        <f>IFERROR(INDEX(Production[Input 3],MATCH(IslandModel[[#This Row],[Building]],Production[Building],0)),"")</f>
        <v/>
      </c>
      <c r="AY75" s="78"/>
      <c r="AZ75"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75"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75"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75" s="35" t="str">
        <f>IFERROR(INDEX(Production[Input 4],MATCH(IslandModel[[#This Row],[Building]],Production[Building],0)),"")</f>
        <v/>
      </c>
      <c r="BD75" s="78"/>
      <c r="BE75"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75"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75"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75" s="35" t="str">
        <f>IFERROR(INDEX(Production[Input 5],MATCH(IslandModel[[#This Row],[Building]],Production[Building],0)),"")</f>
        <v/>
      </c>
      <c r="BI75" s="78"/>
      <c r="BJ75"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75"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75"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75" s="35" t="str">
        <f>IFERROR(INDEX(Production[Input 6],MATCH(IslandModel[[#This Row],[Building]],Production[Building],0)),"")</f>
        <v/>
      </c>
      <c r="BN75" s="78"/>
      <c r="BO75"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75"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75"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75" s="35" t="str">
        <f>IFERROR(INDEX(Production[Input 7],MATCH(IslandModel[[#This Row],[Building]],Production[Building],0)),"")</f>
        <v/>
      </c>
      <c r="BS75" s="78"/>
      <c r="BT75"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75"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75"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75" s="35" t="str">
        <f>IFERROR(INDEX(Production[Input 8],MATCH(IslandModel[[#This Row],[Building]],Production[Building],0)),"")</f>
        <v/>
      </c>
      <c r="BX75" s="78"/>
      <c r="BY75"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75"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75"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75" s="35" t="str">
        <f>IFERROR(INDEX(Production[Input 9],MATCH(IslandModel[[#This Row],[Building]],Production[Building],0)),"")</f>
        <v/>
      </c>
      <c r="CC75" s="78"/>
      <c r="CD75"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75"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75"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75" s="35" t="str">
        <f>IFERROR(INDEX(Production[Input 10],MATCH(IslandModel[[#This Row],[Building]],Production[Building],0)),"")</f>
        <v/>
      </c>
      <c r="CH75" s="78"/>
      <c r="CI75"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75"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75"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75"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75" s="82" t="str">
        <f>IslandModel[[#This Row],[Resource Produced]]</f>
        <v/>
      </c>
      <c r="CN75" s="42">
        <f>IslandModel[[#This Row],[Amount produced/h]]</f>
        <v>0</v>
      </c>
      <c r="CO75" s="42" t="str">
        <f>IslandModel[[#This Row],[Input 1]]</f>
        <v/>
      </c>
      <c r="CP75" s="42">
        <f>-IslandModel[[#This Row],[Input 1 Consumed]]</f>
        <v>0</v>
      </c>
      <c r="CQ75" s="42" t="str">
        <f>IslandModel[[#This Row],[Input 2]]</f>
        <v/>
      </c>
      <c r="CR75" s="42">
        <f>-IslandModel[[#This Row],[Input 2 Consumed]]</f>
        <v>0</v>
      </c>
      <c r="CS75" s="42" t="str">
        <f>IslandModel[[#This Row],[Input 3]]</f>
        <v/>
      </c>
      <c r="CT75" s="42">
        <f>-IslandModel[[#This Row],[Input 3 Consumed]]</f>
        <v>0</v>
      </c>
      <c r="CU75" s="42" t="str">
        <f>IslandModel[[#This Row],[Input 4]]</f>
        <v/>
      </c>
      <c r="CV75" s="42">
        <f>-IslandModel[[#This Row],[Input 4 Consumed]]</f>
        <v>0</v>
      </c>
      <c r="CW75" s="42" t="str">
        <f>IslandModel[[#This Row],[Input 5]]</f>
        <v/>
      </c>
      <c r="CX75" s="42">
        <f>-IslandModel[[#This Row],[Input 5 Consumed]]</f>
        <v>0</v>
      </c>
      <c r="CY75" s="42" t="str">
        <f>IslandModel[[#This Row],[Input 6]]</f>
        <v/>
      </c>
      <c r="CZ75" s="42">
        <f>-IslandModel[[#This Row],[Input 6 Consumed]]</f>
        <v>0</v>
      </c>
      <c r="DA75" s="42" t="str">
        <f>IslandModel[[#This Row],[Input 7]]</f>
        <v/>
      </c>
      <c r="DB75" s="42">
        <f>-IslandModel[[#This Row],[Input 7 Consumed]]</f>
        <v>0</v>
      </c>
      <c r="DC75" s="42" t="str">
        <f>IslandModel[[#This Row],[Input 8]]</f>
        <v/>
      </c>
      <c r="DD75" s="42">
        <f>-IslandModel[[#This Row],[Input 8 Consumed]]</f>
        <v>0</v>
      </c>
      <c r="DE75" s="42" t="str">
        <f>IslandModel[[#This Row],[Input 9]]</f>
        <v/>
      </c>
      <c r="DF75" s="42">
        <f>-IslandModel[[#This Row],[Input 9 Consumed]]</f>
        <v>0</v>
      </c>
      <c r="DG75" s="42" t="str">
        <f>IslandModel[[#This Row],[Input 10]]</f>
        <v/>
      </c>
      <c r="DH75" s="42">
        <f>-IslandModel[[#This Row],[Input 10 Consumed]]</f>
        <v>0</v>
      </c>
      <c r="DJ75" s="55" t="s">
        <v>79</v>
      </c>
      <c r="DK75" s="39">
        <f>SUM(SUMIFS(IslandModel[Resource 1 Qty],IslandModel[Resource 1],ResourceAvailable[[#This Row],[Resource]]))</f>
        <v>0</v>
      </c>
      <c r="DL75"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75" s="39">
        <f>ResourceAvailable[[#This Row],[Amount Produced]]-ResourceAvailable[[#This Row],[Amount Consumed]]</f>
        <v>0</v>
      </c>
      <c r="DN75" s="20">
        <f>MAX(0,ResourceAvailable[[#This Row],[Amount Available for Resident Consumption]]-SUMIFS(ConsumptionModel[Resource Demand],ConsumptionModel[Resource],ResourceAvailable[[#This Row],[Resource]]))</f>
        <v>0</v>
      </c>
    </row>
    <row r="76" spans="2:118" ht="21" x14ac:dyDescent="0.65">
      <c r="AD76" s="83">
        <f>ROW()</f>
        <v>76</v>
      </c>
      <c r="AE76" s="106"/>
      <c r="AF76" s="72"/>
      <c r="AG76" s="18"/>
      <c r="AH76" s="18"/>
      <c r="AI76" s="156">
        <f>IFERROR(IslandModel[[#This Row],[Quantity]]/IslandModel[[#This Row],[Target Quantity]],0)</f>
        <v>0</v>
      </c>
      <c r="AJ76" s="61" t="str">
        <f>IFERROR(INDEX(Production[Resource Produced],MATCH(IslandModel[[#This Row],[Building]],Production[Building],0)),"")</f>
        <v/>
      </c>
      <c r="AK76" s="99">
        <f>IFERROR(IslandModel[[#This Row],[Quantity]]*INDEX(Production[Production in 1h],MATCH(IslandModel[[#This Row],[Building]],Production[Building],0))*IslandModel[[#This Row],[Input Consumption Multiplier]],0)</f>
        <v>0</v>
      </c>
      <c r="AL76" s="115">
        <f>100%</f>
        <v>1</v>
      </c>
      <c r="AM76"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76" s="77" t="str">
        <f>IFERROR(INDEX(Production[Input 1],MATCH(IslandModel[[#This Row],[Building]],Production[Building],0)),"")</f>
        <v/>
      </c>
      <c r="AO76" s="78"/>
      <c r="AP76"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76"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76"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76" s="35" t="str">
        <f>IFERROR(INDEX(Production[Input 2],MATCH(IslandModel[[#This Row],[Building]],Production[Building],0)),"")</f>
        <v/>
      </c>
      <c r="AT76" s="78"/>
      <c r="AU76"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76"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76"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76" s="35" t="str">
        <f>IFERROR(INDEX(Production[Input 3],MATCH(IslandModel[[#This Row],[Building]],Production[Building],0)),"")</f>
        <v/>
      </c>
      <c r="AY76" s="78"/>
      <c r="AZ76"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76"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76"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76" s="35" t="str">
        <f>IFERROR(INDEX(Production[Input 4],MATCH(IslandModel[[#This Row],[Building]],Production[Building],0)),"")</f>
        <v/>
      </c>
      <c r="BD76" s="78"/>
      <c r="BE76"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76"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76"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76" s="35" t="str">
        <f>IFERROR(INDEX(Production[Input 5],MATCH(IslandModel[[#This Row],[Building]],Production[Building],0)),"")</f>
        <v/>
      </c>
      <c r="BI76" s="78"/>
      <c r="BJ76"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76"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76"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76" s="35" t="str">
        <f>IFERROR(INDEX(Production[Input 6],MATCH(IslandModel[[#This Row],[Building]],Production[Building],0)),"")</f>
        <v/>
      </c>
      <c r="BN76" s="78"/>
      <c r="BO76"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76"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76"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76" s="35" t="str">
        <f>IFERROR(INDEX(Production[Input 7],MATCH(IslandModel[[#This Row],[Building]],Production[Building],0)),"")</f>
        <v/>
      </c>
      <c r="BS76" s="78"/>
      <c r="BT76"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76"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76"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76" s="35" t="str">
        <f>IFERROR(INDEX(Production[Input 8],MATCH(IslandModel[[#This Row],[Building]],Production[Building],0)),"")</f>
        <v/>
      </c>
      <c r="BX76" s="78"/>
      <c r="BY76"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76"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76"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76" s="35" t="str">
        <f>IFERROR(INDEX(Production[Input 9],MATCH(IslandModel[[#This Row],[Building]],Production[Building],0)),"")</f>
        <v/>
      </c>
      <c r="CC76" s="78"/>
      <c r="CD76"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76"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76"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76" s="35" t="str">
        <f>IFERROR(INDEX(Production[Input 10],MATCH(IslandModel[[#This Row],[Building]],Production[Building],0)),"")</f>
        <v/>
      </c>
      <c r="CH76" s="78"/>
      <c r="CI76"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76"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76"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76"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76" s="82" t="str">
        <f>IslandModel[[#This Row],[Resource Produced]]</f>
        <v/>
      </c>
      <c r="CN76" s="42">
        <f>IslandModel[[#This Row],[Amount produced/h]]</f>
        <v>0</v>
      </c>
      <c r="CO76" s="42" t="str">
        <f>IslandModel[[#This Row],[Input 1]]</f>
        <v/>
      </c>
      <c r="CP76" s="42">
        <f>-IslandModel[[#This Row],[Input 1 Consumed]]</f>
        <v>0</v>
      </c>
      <c r="CQ76" s="42" t="str">
        <f>IslandModel[[#This Row],[Input 2]]</f>
        <v/>
      </c>
      <c r="CR76" s="42">
        <f>-IslandModel[[#This Row],[Input 2 Consumed]]</f>
        <v>0</v>
      </c>
      <c r="CS76" s="42" t="str">
        <f>IslandModel[[#This Row],[Input 3]]</f>
        <v/>
      </c>
      <c r="CT76" s="42">
        <f>-IslandModel[[#This Row],[Input 3 Consumed]]</f>
        <v>0</v>
      </c>
      <c r="CU76" s="42" t="str">
        <f>IslandModel[[#This Row],[Input 4]]</f>
        <v/>
      </c>
      <c r="CV76" s="42">
        <f>-IslandModel[[#This Row],[Input 4 Consumed]]</f>
        <v>0</v>
      </c>
      <c r="CW76" s="42" t="str">
        <f>IslandModel[[#This Row],[Input 5]]</f>
        <v/>
      </c>
      <c r="CX76" s="42">
        <f>-IslandModel[[#This Row],[Input 5 Consumed]]</f>
        <v>0</v>
      </c>
      <c r="CY76" s="42" t="str">
        <f>IslandModel[[#This Row],[Input 6]]</f>
        <v/>
      </c>
      <c r="CZ76" s="42">
        <f>-IslandModel[[#This Row],[Input 6 Consumed]]</f>
        <v>0</v>
      </c>
      <c r="DA76" s="42" t="str">
        <f>IslandModel[[#This Row],[Input 7]]</f>
        <v/>
      </c>
      <c r="DB76" s="42">
        <f>-IslandModel[[#This Row],[Input 7 Consumed]]</f>
        <v>0</v>
      </c>
      <c r="DC76" s="42" t="str">
        <f>IslandModel[[#This Row],[Input 8]]</f>
        <v/>
      </c>
      <c r="DD76" s="42">
        <f>-IslandModel[[#This Row],[Input 8 Consumed]]</f>
        <v>0</v>
      </c>
      <c r="DE76" s="42" t="str">
        <f>IslandModel[[#This Row],[Input 9]]</f>
        <v/>
      </c>
      <c r="DF76" s="42">
        <f>-IslandModel[[#This Row],[Input 9 Consumed]]</f>
        <v>0</v>
      </c>
      <c r="DG76" s="42" t="str">
        <f>IslandModel[[#This Row],[Input 10]]</f>
        <v/>
      </c>
      <c r="DH76" s="42">
        <f>-IslandModel[[#This Row],[Input 10 Consumed]]</f>
        <v>0</v>
      </c>
      <c r="DJ76" s="55" t="s">
        <v>337</v>
      </c>
      <c r="DK76" s="39">
        <f>SUM(SUMIFS(IslandModel[Resource 1 Qty],IslandModel[Resource 1],ResourceAvailable[[#This Row],[Resource]]))</f>
        <v>0</v>
      </c>
      <c r="DL76"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76" s="39">
        <f>ResourceAvailable[[#This Row],[Amount Produced]]-ResourceAvailable[[#This Row],[Amount Consumed]]</f>
        <v>0</v>
      </c>
      <c r="DN76" s="20">
        <f>MAX(0,ResourceAvailable[[#This Row],[Amount Available for Resident Consumption]]-SUMIFS(ConsumptionModel[Resource Demand],ConsumptionModel[Resource],ResourceAvailable[[#This Row],[Resource]]))</f>
        <v>0</v>
      </c>
    </row>
    <row r="77" spans="2:118" ht="21" x14ac:dyDescent="0.65">
      <c r="AD77" s="83">
        <f>ROW()</f>
        <v>77</v>
      </c>
      <c r="AE77" s="106"/>
      <c r="AF77" s="72"/>
      <c r="AG77" s="18"/>
      <c r="AH77" s="18"/>
      <c r="AI77" s="156">
        <f>IFERROR(IslandModel[[#This Row],[Quantity]]/IslandModel[[#This Row],[Target Quantity]],0)</f>
        <v>0</v>
      </c>
      <c r="AJ77" s="61" t="str">
        <f>IFERROR(INDEX(Production[Resource Produced],MATCH(IslandModel[[#This Row],[Building]],Production[Building],0)),"")</f>
        <v/>
      </c>
      <c r="AK77" s="99">
        <f>IFERROR(IslandModel[[#This Row],[Quantity]]*INDEX(Production[Production in 1h],MATCH(IslandModel[[#This Row],[Building]],Production[Building],0))*IslandModel[[#This Row],[Input Consumption Multiplier]],0)</f>
        <v>0</v>
      </c>
      <c r="AL77" s="115">
        <f>100%</f>
        <v>1</v>
      </c>
      <c r="AM77"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77" s="77" t="str">
        <f>IFERROR(INDEX(Production[Input 1],MATCH(IslandModel[[#This Row],[Building]],Production[Building],0)),"")</f>
        <v/>
      </c>
      <c r="AO77" s="78"/>
      <c r="AP77"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77"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77"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77" s="35" t="str">
        <f>IFERROR(INDEX(Production[Input 2],MATCH(IslandModel[[#This Row],[Building]],Production[Building],0)),"")</f>
        <v/>
      </c>
      <c r="AT77" s="78"/>
      <c r="AU77"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77"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77"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77" s="35" t="str">
        <f>IFERROR(INDEX(Production[Input 3],MATCH(IslandModel[[#This Row],[Building]],Production[Building],0)),"")</f>
        <v/>
      </c>
      <c r="AY77" s="78"/>
      <c r="AZ77"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77"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77"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77" s="35" t="str">
        <f>IFERROR(INDEX(Production[Input 4],MATCH(IslandModel[[#This Row],[Building]],Production[Building],0)),"")</f>
        <v/>
      </c>
      <c r="BD77" s="78"/>
      <c r="BE77"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77"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77"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77" s="35" t="str">
        <f>IFERROR(INDEX(Production[Input 5],MATCH(IslandModel[[#This Row],[Building]],Production[Building],0)),"")</f>
        <v/>
      </c>
      <c r="BI77" s="78"/>
      <c r="BJ77"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77"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77"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77" s="35" t="str">
        <f>IFERROR(INDEX(Production[Input 6],MATCH(IslandModel[[#This Row],[Building]],Production[Building],0)),"")</f>
        <v/>
      </c>
      <c r="BN77" s="78"/>
      <c r="BO77"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77"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77"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77" s="35" t="str">
        <f>IFERROR(INDEX(Production[Input 7],MATCH(IslandModel[[#This Row],[Building]],Production[Building],0)),"")</f>
        <v/>
      </c>
      <c r="BS77" s="78"/>
      <c r="BT77"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77"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77"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77" s="35" t="str">
        <f>IFERROR(INDEX(Production[Input 8],MATCH(IslandModel[[#This Row],[Building]],Production[Building],0)),"")</f>
        <v/>
      </c>
      <c r="BX77" s="78"/>
      <c r="BY77"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77"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77"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77" s="35" t="str">
        <f>IFERROR(INDEX(Production[Input 9],MATCH(IslandModel[[#This Row],[Building]],Production[Building],0)),"")</f>
        <v/>
      </c>
      <c r="CC77" s="78"/>
      <c r="CD77"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77"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77"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77" s="35" t="str">
        <f>IFERROR(INDEX(Production[Input 10],MATCH(IslandModel[[#This Row],[Building]],Production[Building],0)),"")</f>
        <v/>
      </c>
      <c r="CH77" s="78"/>
      <c r="CI77"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77"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77"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77"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77" s="82" t="str">
        <f>IslandModel[[#This Row],[Resource Produced]]</f>
        <v/>
      </c>
      <c r="CN77" s="42">
        <f>IslandModel[[#This Row],[Amount produced/h]]</f>
        <v>0</v>
      </c>
      <c r="CO77" s="42" t="str">
        <f>IslandModel[[#This Row],[Input 1]]</f>
        <v/>
      </c>
      <c r="CP77" s="42">
        <f>-IslandModel[[#This Row],[Input 1 Consumed]]</f>
        <v>0</v>
      </c>
      <c r="CQ77" s="42" t="str">
        <f>IslandModel[[#This Row],[Input 2]]</f>
        <v/>
      </c>
      <c r="CR77" s="42">
        <f>-IslandModel[[#This Row],[Input 2 Consumed]]</f>
        <v>0</v>
      </c>
      <c r="CS77" s="42" t="str">
        <f>IslandModel[[#This Row],[Input 3]]</f>
        <v/>
      </c>
      <c r="CT77" s="42">
        <f>-IslandModel[[#This Row],[Input 3 Consumed]]</f>
        <v>0</v>
      </c>
      <c r="CU77" s="42" t="str">
        <f>IslandModel[[#This Row],[Input 4]]</f>
        <v/>
      </c>
      <c r="CV77" s="42">
        <f>-IslandModel[[#This Row],[Input 4 Consumed]]</f>
        <v>0</v>
      </c>
      <c r="CW77" s="42" t="str">
        <f>IslandModel[[#This Row],[Input 5]]</f>
        <v/>
      </c>
      <c r="CX77" s="42">
        <f>-IslandModel[[#This Row],[Input 5 Consumed]]</f>
        <v>0</v>
      </c>
      <c r="CY77" s="42" t="str">
        <f>IslandModel[[#This Row],[Input 6]]</f>
        <v/>
      </c>
      <c r="CZ77" s="42">
        <f>-IslandModel[[#This Row],[Input 6 Consumed]]</f>
        <v>0</v>
      </c>
      <c r="DA77" s="42" t="str">
        <f>IslandModel[[#This Row],[Input 7]]</f>
        <v/>
      </c>
      <c r="DB77" s="42">
        <f>-IslandModel[[#This Row],[Input 7 Consumed]]</f>
        <v>0</v>
      </c>
      <c r="DC77" s="42" t="str">
        <f>IslandModel[[#This Row],[Input 8]]</f>
        <v/>
      </c>
      <c r="DD77" s="42">
        <f>-IslandModel[[#This Row],[Input 8 Consumed]]</f>
        <v>0</v>
      </c>
      <c r="DE77" s="42" t="str">
        <f>IslandModel[[#This Row],[Input 9]]</f>
        <v/>
      </c>
      <c r="DF77" s="42">
        <f>-IslandModel[[#This Row],[Input 9 Consumed]]</f>
        <v>0</v>
      </c>
      <c r="DG77" s="42" t="str">
        <f>IslandModel[[#This Row],[Input 10]]</f>
        <v/>
      </c>
      <c r="DH77" s="42">
        <f>-IslandModel[[#This Row],[Input 10 Consumed]]</f>
        <v>0</v>
      </c>
      <c r="DJ77" t="s">
        <v>156</v>
      </c>
      <c r="DK77" s="39">
        <f>SUM(SUMIFS(IslandModel[Resource 1 Qty],IslandModel[Resource 1],ResourceAvailable[[#This Row],[Resource]]))</f>
        <v>0</v>
      </c>
      <c r="DL77"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77" s="39">
        <f>ResourceAvailable[[#This Row],[Amount Produced]]-ResourceAvailable[[#This Row],[Amount Consumed]]</f>
        <v>0</v>
      </c>
      <c r="DN77" s="20">
        <f>MAX(0,ResourceAvailable[[#This Row],[Amount Available for Resident Consumption]]-SUMIFS(ConsumptionModel[Resource Demand],ConsumptionModel[Resource],ResourceAvailable[[#This Row],[Resource]]))</f>
        <v>0</v>
      </c>
    </row>
    <row r="78" spans="2:118" ht="21" x14ac:dyDescent="0.65">
      <c r="AD78" s="83">
        <f>ROW()</f>
        <v>78</v>
      </c>
      <c r="AE78" s="106"/>
      <c r="AF78" s="72"/>
      <c r="AG78" s="18"/>
      <c r="AH78" s="18"/>
      <c r="AI78" s="156">
        <f>IFERROR(IslandModel[[#This Row],[Quantity]]/IslandModel[[#This Row],[Target Quantity]],0)</f>
        <v>0</v>
      </c>
      <c r="AJ78" s="61" t="str">
        <f>IFERROR(INDEX(Production[Resource Produced],MATCH(IslandModel[[#This Row],[Building]],Production[Building],0)),"")</f>
        <v/>
      </c>
      <c r="AK78" s="99">
        <f>IFERROR(IslandModel[[#This Row],[Quantity]]*INDEX(Production[Production in 1h],MATCH(IslandModel[[#This Row],[Building]],Production[Building],0))*IslandModel[[#This Row],[Input Consumption Multiplier]],0)</f>
        <v>0</v>
      </c>
      <c r="AL78" s="115">
        <f>100%</f>
        <v>1</v>
      </c>
      <c r="AM78"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78" s="77" t="str">
        <f>IFERROR(INDEX(Production[Input 1],MATCH(IslandModel[[#This Row],[Building]],Production[Building],0)),"")</f>
        <v/>
      </c>
      <c r="AO78" s="78"/>
      <c r="AP78"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78"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78"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78" s="35" t="str">
        <f>IFERROR(INDEX(Production[Input 2],MATCH(IslandModel[[#This Row],[Building]],Production[Building],0)),"")</f>
        <v/>
      </c>
      <c r="AT78" s="78"/>
      <c r="AU78"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78"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78"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78" s="35" t="str">
        <f>IFERROR(INDEX(Production[Input 3],MATCH(IslandModel[[#This Row],[Building]],Production[Building],0)),"")</f>
        <v/>
      </c>
      <c r="AY78" s="78"/>
      <c r="AZ78"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78"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78"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78" s="35" t="str">
        <f>IFERROR(INDEX(Production[Input 4],MATCH(IslandModel[[#This Row],[Building]],Production[Building],0)),"")</f>
        <v/>
      </c>
      <c r="BD78" s="78"/>
      <c r="BE78"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78"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78"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78" s="35" t="str">
        <f>IFERROR(INDEX(Production[Input 5],MATCH(IslandModel[[#This Row],[Building]],Production[Building],0)),"")</f>
        <v/>
      </c>
      <c r="BI78" s="78"/>
      <c r="BJ78"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78"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78"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78" s="35" t="str">
        <f>IFERROR(INDEX(Production[Input 6],MATCH(IslandModel[[#This Row],[Building]],Production[Building],0)),"")</f>
        <v/>
      </c>
      <c r="BN78" s="78"/>
      <c r="BO78"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78"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78"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78" s="35" t="str">
        <f>IFERROR(INDEX(Production[Input 7],MATCH(IslandModel[[#This Row],[Building]],Production[Building],0)),"")</f>
        <v/>
      </c>
      <c r="BS78" s="78"/>
      <c r="BT78"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78"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78"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78" s="35" t="str">
        <f>IFERROR(INDEX(Production[Input 8],MATCH(IslandModel[[#This Row],[Building]],Production[Building],0)),"")</f>
        <v/>
      </c>
      <c r="BX78" s="78"/>
      <c r="BY78"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78"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78"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78" s="35" t="str">
        <f>IFERROR(INDEX(Production[Input 9],MATCH(IslandModel[[#This Row],[Building]],Production[Building],0)),"")</f>
        <v/>
      </c>
      <c r="CC78" s="78"/>
      <c r="CD78"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78"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78"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78" s="35" t="str">
        <f>IFERROR(INDEX(Production[Input 10],MATCH(IslandModel[[#This Row],[Building]],Production[Building],0)),"")</f>
        <v/>
      </c>
      <c r="CH78" s="78"/>
      <c r="CI78"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78"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78"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78"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78" s="82" t="str">
        <f>IslandModel[[#This Row],[Resource Produced]]</f>
        <v/>
      </c>
      <c r="CN78" s="42">
        <f>IslandModel[[#This Row],[Amount produced/h]]</f>
        <v>0</v>
      </c>
      <c r="CO78" s="42" t="str">
        <f>IslandModel[[#This Row],[Input 1]]</f>
        <v/>
      </c>
      <c r="CP78" s="42">
        <f>-IslandModel[[#This Row],[Input 1 Consumed]]</f>
        <v>0</v>
      </c>
      <c r="CQ78" s="42" t="str">
        <f>IslandModel[[#This Row],[Input 2]]</f>
        <v/>
      </c>
      <c r="CR78" s="42">
        <f>-IslandModel[[#This Row],[Input 2 Consumed]]</f>
        <v>0</v>
      </c>
      <c r="CS78" s="42" t="str">
        <f>IslandModel[[#This Row],[Input 3]]</f>
        <v/>
      </c>
      <c r="CT78" s="42">
        <f>-IslandModel[[#This Row],[Input 3 Consumed]]</f>
        <v>0</v>
      </c>
      <c r="CU78" s="42" t="str">
        <f>IslandModel[[#This Row],[Input 4]]</f>
        <v/>
      </c>
      <c r="CV78" s="42">
        <f>-IslandModel[[#This Row],[Input 4 Consumed]]</f>
        <v>0</v>
      </c>
      <c r="CW78" s="42" t="str">
        <f>IslandModel[[#This Row],[Input 5]]</f>
        <v/>
      </c>
      <c r="CX78" s="42">
        <f>-IslandModel[[#This Row],[Input 5 Consumed]]</f>
        <v>0</v>
      </c>
      <c r="CY78" s="42" t="str">
        <f>IslandModel[[#This Row],[Input 6]]</f>
        <v/>
      </c>
      <c r="CZ78" s="42">
        <f>-IslandModel[[#This Row],[Input 6 Consumed]]</f>
        <v>0</v>
      </c>
      <c r="DA78" s="42" t="str">
        <f>IslandModel[[#This Row],[Input 7]]</f>
        <v/>
      </c>
      <c r="DB78" s="42">
        <f>-IslandModel[[#This Row],[Input 7 Consumed]]</f>
        <v>0</v>
      </c>
      <c r="DC78" s="42" t="str">
        <f>IslandModel[[#This Row],[Input 8]]</f>
        <v/>
      </c>
      <c r="DD78" s="42">
        <f>-IslandModel[[#This Row],[Input 8 Consumed]]</f>
        <v>0</v>
      </c>
      <c r="DE78" s="42" t="str">
        <f>IslandModel[[#This Row],[Input 9]]</f>
        <v/>
      </c>
      <c r="DF78" s="42">
        <f>-IslandModel[[#This Row],[Input 9 Consumed]]</f>
        <v>0</v>
      </c>
      <c r="DG78" s="42" t="str">
        <f>IslandModel[[#This Row],[Input 10]]</f>
        <v/>
      </c>
      <c r="DH78" s="42">
        <f>-IslandModel[[#This Row],[Input 10 Consumed]]</f>
        <v>0</v>
      </c>
      <c r="DJ78" t="s">
        <v>154</v>
      </c>
      <c r="DK78" s="39">
        <f>SUM(SUMIFS(IslandModel[Resource 1 Qty],IslandModel[Resource 1],ResourceAvailable[[#This Row],[Resource]]))</f>
        <v>0</v>
      </c>
      <c r="DL78"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78" s="39">
        <f>ResourceAvailable[[#This Row],[Amount Produced]]-ResourceAvailable[[#This Row],[Amount Consumed]]</f>
        <v>0</v>
      </c>
      <c r="DN78" s="20">
        <f>MAX(0,ResourceAvailable[[#This Row],[Amount Available for Resident Consumption]]-SUMIFS(ConsumptionModel[Resource Demand],ConsumptionModel[Resource],ResourceAvailable[[#This Row],[Resource]]))</f>
        <v>0</v>
      </c>
    </row>
    <row r="79" spans="2:118" ht="21" x14ac:dyDescent="0.65">
      <c r="AD79" s="83">
        <f>ROW()</f>
        <v>79</v>
      </c>
      <c r="AE79" s="106"/>
      <c r="AF79" s="72"/>
      <c r="AG79" s="18"/>
      <c r="AH79" s="18"/>
      <c r="AI79" s="156">
        <f>IFERROR(IslandModel[[#This Row],[Quantity]]/IslandModel[[#This Row],[Target Quantity]],0)</f>
        <v>0</v>
      </c>
      <c r="AJ79" s="61" t="str">
        <f>IFERROR(INDEX(Production[Resource Produced],MATCH(IslandModel[[#This Row],[Building]],Production[Building],0)),"")</f>
        <v/>
      </c>
      <c r="AK79" s="99">
        <f>IFERROR(IslandModel[[#This Row],[Quantity]]*INDEX(Production[Production in 1h],MATCH(IslandModel[[#This Row],[Building]],Production[Building],0))*IslandModel[[#This Row],[Input Consumption Multiplier]],0)</f>
        <v>0</v>
      </c>
      <c r="AL79" s="115">
        <f>100%</f>
        <v>1</v>
      </c>
      <c r="AM79"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79" s="77" t="str">
        <f>IFERROR(INDEX(Production[Input 1],MATCH(IslandModel[[#This Row],[Building]],Production[Building],0)),"")</f>
        <v/>
      </c>
      <c r="AO79" s="78"/>
      <c r="AP79"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79"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79"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79" s="35" t="str">
        <f>IFERROR(INDEX(Production[Input 2],MATCH(IslandModel[[#This Row],[Building]],Production[Building],0)),"")</f>
        <v/>
      </c>
      <c r="AT79" s="78"/>
      <c r="AU79"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79"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79"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79" s="35" t="str">
        <f>IFERROR(INDEX(Production[Input 3],MATCH(IslandModel[[#This Row],[Building]],Production[Building],0)),"")</f>
        <v/>
      </c>
      <c r="AY79" s="78"/>
      <c r="AZ79"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79"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79"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79" s="35" t="str">
        <f>IFERROR(INDEX(Production[Input 4],MATCH(IslandModel[[#This Row],[Building]],Production[Building],0)),"")</f>
        <v/>
      </c>
      <c r="BD79" s="78"/>
      <c r="BE79"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79"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79"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79" s="35" t="str">
        <f>IFERROR(INDEX(Production[Input 5],MATCH(IslandModel[[#This Row],[Building]],Production[Building],0)),"")</f>
        <v/>
      </c>
      <c r="BI79" s="78"/>
      <c r="BJ79"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79"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79"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79" s="35" t="str">
        <f>IFERROR(INDEX(Production[Input 6],MATCH(IslandModel[[#This Row],[Building]],Production[Building],0)),"")</f>
        <v/>
      </c>
      <c r="BN79" s="78"/>
      <c r="BO79"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79"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79"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79" s="35" t="str">
        <f>IFERROR(INDEX(Production[Input 7],MATCH(IslandModel[[#This Row],[Building]],Production[Building],0)),"")</f>
        <v/>
      </c>
      <c r="BS79" s="78"/>
      <c r="BT79"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79"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79"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79" s="35" t="str">
        <f>IFERROR(INDEX(Production[Input 8],MATCH(IslandModel[[#This Row],[Building]],Production[Building],0)),"")</f>
        <v/>
      </c>
      <c r="BX79" s="78"/>
      <c r="BY79"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79"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79"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79" s="35" t="str">
        <f>IFERROR(INDEX(Production[Input 9],MATCH(IslandModel[[#This Row],[Building]],Production[Building],0)),"")</f>
        <v/>
      </c>
      <c r="CC79" s="78"/>
      <c r="CD79"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79"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79"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79" s="35" t="str">
        <f>IFERROR(INDEX(Production[Input 10],MATCH(IslandModel[[#This Row],[Building]],Production[Building],0)),"")</f>
        <v/>
      </c>
      <c r="CH79" s="78"/>
      <c r="CI79"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79"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79"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79"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79" s="82" t="str">
        <f>IslandModel[[#This Row],[Resource Produced]]</f>
        <v/>
      </c>
      <c r="CN79" s="42">
        <f>IslandModel[[#This Row],[Amount produced/h]]</f>
        <v>0</v>
      </c>
      <c r="CO79" s="42" t="str">
        <f>IslandModel[[#This Row],[Input 1]]</f>
        <v/>
      </c>
      <c r="CP79" s="42">
        <f>-IslandModel[[#This Row],[Input 1 Consumed]]</f>
        <v>0</v>
      </c>
      <c r="CQ79" s="42" t="str">
        <f>IslandModel[[#This Row],[Input 2]]</f>
        <v/>
      </c>
      <c r="CR79" s="42">
        <f>-IslandModel[[#This Row],[Input 2 Consumed]]</f>
        <v>0</v>
      </c>
      <c r="CS79" s="42" t="str">
        <f>IslandModel[[#This Row],[Input 3]]</f>
        <v/>
      </c>
      <c r="CT79" s="42">
        <f>-IslandModel[[#This Row],[Input 3 Consumed]]</f>
        <v>0</v>
      </c>
      <c r="CU79" s="42" t="str">
        <f>IslandModel[[#This Row],[Input 4]]</f>
        <v/>
      </c>
      <c r="CV79" s="42">
        <f>-IslandModel[[#This Row],[Input 4 Consumed]]</f>
        <v>0</v>
      </c>
      <c r="CW79" s="42" t="str">
        <f>IslandModel[[#This Row],[Input 5]]</f>
        <v/>
      </c>
      <c r="CX79" s="42">
        <f>-IslandModel[[#This Row],[Input 5 Consumed]]</f>
        <v>0</v>
      </c>
      <c r="CY79" s="42" t="str">
        <f>IslandModel[[#This Row],[Input 6]]</f>
        <v/>
      </c>
      <c r="CZ79" s="42">
        <f>-IslandModel[[#This Row],[Input 6 Consumed]]</f>
        <v>0</v>
      </c>
      <c r="DA79" s="42" t="str">
        <f>IslandModel[[#This Row],[Input 7]]</f>
        <v/>
      </c>
      <c r="DB79" s="42">
        <f>-IslandModel[[#This Row],[Input 7 Consumed]]</f>
        <v>0</v>
      </c>
      <c r="DC79" s="42" t="str">
        <f>IslandModel[[#This Row],[Input 8]]</f>
        <v/>
      </c>
      <c r="DD79" s="42">
        <f>-IslandModel[[#This Row],[Input 8 Consumed]]</f>
        <v>0</v>
      </c>
      <c r="DE79" s="42" t="str">
        <f>IslandModel[[#This Row],[Input 9]]</f>
        <v/>
      </c>
      <c r="DF79" s="42">
        <f>-IslandModel[[#This Row],[Input 9 Consumed]]</f>
        <v>0</v>
      </c>
      <c r="DG79" s="42" t="str">
        <f>IslandModel[[#This Row],[Input 10]]</f>
        <v/>
      </c>
      <c r="DH79" s="42">
        <f>-IslandModel[[#This Row],[Input 10 Consumed]]</f>
        <v>0</v>
      </c>
      <c r="DJ79" t="s">
        <v>159</v>
      </c>
      <c r="DK79" s="39">
        <f>SUM(SUMIFS(IslandModel[Resource 1 Qty],IslandModel[Resource 1],ResourceAvailable[[#This Row],[Resource]]))</f>
        <v>0</v>
      </c>
      <c r="DL79"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79" s="39">
        <f>ResourceAvailable[[#This Row],[Amount Produced]]-ResourceAvailable[[#This Row],[Amount Consumed]]</f>
        <v>0</v>
      </c>
      <c r="DN79" s="20">
        <f>MAX(0,ResourceAvailable[[#This Row],[Amount Available for Resident Consumption]]-SUMIFS(ConsumptionModel[Resource Demand],ConsumptionModel[Resource],ResourceAvailable[[#This Row],[Resource]]))</f>
        <v>0</v>
      </c>
    </row>
    <row r="80" spans="2:118" ht="21" x14ac:dyDescent="0.65">
      <c r="AD80" s="83">
        <f>ROW()</f>
        <v>80</v>
      </c>
      <c r="AE80" s="106"/>
      <c r="AF80" s="72"/>
      <c r="AG80" s="18"/>
      <c r="AH80" s="18"/>
      <c r="AI80" s="156">
        <f>IFERROR(IslandModel[[#This Row],[Quantity]]/IslandModel[[#This Row],[Target Quantity]],0)</f>
        <v>0</v>
      </c>
      <c r="AJ80" s="61" t="str">
        <f>IFERROR(INDEX(Production[Resource Produced],MATCH(IslandModel[[#This Row],[Building]],Production[Building],0)),"")</f>
        <v/>
      </c>
      <c r="AK80" s="99">
        <f>IFERROR(IslandModel[[#This Row],[Quantity]]*INDEX(Production[Production in 1h],MATCH(IslandModel[[#This Row],[Building]],Production[Building],0))*IslandModel[[#This Row],[Input Consumption Multiplier]],0)</f>
        <v>0</v>
      </c>
      <c r="AL80" s="115">
        <f>100%</f>
        <v>1</v>
      </c>
      <c r="AM80"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80" s="77" t="str">
        <f>IFERROR(INDEX(Production[Input 1],MATCH(IslandModel[[#This Row],[Building]],Production[Building],0)),"")</f>
        <v/>
      </c>
      <c r="AO80" s="78"/>
      <c r="AP80"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80"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80"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80" s="35" t="str">
        <f>IFERROR(INDEX(Production[Input 2],MATCH(IslandModel[[#This Row],[Building]],Production[Building],0)),"")</f>
        <v/>
      </c>
      <c r="AT80" s="78"/>
      <c r="AU80"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80"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80"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80" s="35" t="str">
        <f>IFERROR(INDEX(Production[Input 3],MATCH(IslandModel[[#This Row],[Building]],Production[Building],0)),"")</f>
        <v/>
      </c>
      <c r="AY80" s="78"/>
      <c r="AZ80"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80"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80"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80" s="35" t="str">
        <f>IFERROR(INDEX(Production[Input 4],MATCH(IslandModel[[#This Row],[Building]],Production[Building],0)),"")</f>
        <v/>
      </c>
      <c r="BD80" s="78"/>
      <c r="BE80"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80"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80"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80" s="35" t="str">
        <f>IFERROR(INDEX(Production[Input 5],MATCH(IslandModel[[#This Row],[Building]],Production[Building],0)),"")</f>
        <v/>
      </c>
      <c r="BI80" s="78"/>
      <c r="BJ80"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80"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80"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80" s="35" t="str">
        <f>IFERROR(INDEX(Production[Input 6],MATCH(IslandModel[[#This Row],[Building]],Production[Building],0)),"")</f>
        <v/>
      </c>
      <c r="BN80" s="78"/>
      <c r="BO80"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80"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80"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80" s="35" t="str">
        <f>IFERROR(INDEX(Production[Input 7],MATCH(IslandModel[[#This Row],[Building]],Production[Building],0)),"")</f>
        <v/>
      </c>
      <c r="BS80" s="78"/>
      <c r="BT80"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80"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80"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80" s="35" t="str">
        <f>IFERROR(INDEX(Production[Input 8],MATCH(IslandModel[[#This Row],[Building]],Production[Building],0)),"")</f>
        <v/>
      </c>
      <c r="BX80" s="78"/>
      <c r="BY80"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80"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80"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80" s="35" t="str">
        <f>IFERROR(INDEX(Production[Input 9],MATCH(IslandModel[[#This Row],[Building]],Production[Building],0)),"")</f>
        <v/>
      </c>
      <c r="CC80" s="78"/>
      <c r="CD80"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80"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80"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80" s="35" t="str">
        <f>IFERROR(INDEX(Production[Input 10],MATCH(IslandModel[[#This Row],[Building]],Production[Building],0)),"")</f>
        <v/>
      </c>
      <c r="CH80" s="78"/>
      <c r="CI80"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80"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80"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80"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80" s="82" t="str">
        <f>IslandModel[[#This Row],[Resource Produced]]</f>
        <v/>
      </c>
      <c r="CN80" s="42">
        <f>IslandModel[[#This Row],[Amount produced/h]]</f>
        <v>0</v>
      </c>
      <c r="CO80" s="42" t="str">
        <f>IslandModel[[#This Row],[Input 1]]</f>
        <v/>
      </c>
      <c r="CP80" s="42">
        <f>-IslandModel[[#This Row],[Input 1 Consumed]]</f>
        <v>0</v>
      </c>
      <c r="CQ80" s="42" t="str">
        <f>IslandModel[[#This Row],[Input 2]]</f>
        <v/>
      </c>
      <c r="CR80" s="42">
        <f>-IslandModel[[#This Row],[Input 2 Consumed]]</f>
        <v>0</v>
      </c>
      <c r="CS80" s="42" t="str">
        <f>IslandModel[[#This Row],[Input 3]]</f>
        <v/>
      </c>
      <c r="CT80" s="42">
        <f>-IslandModel[[#This Row],[Input 3 Consumed]]</f>
        <v>0</v>
      </c>
      <c r="CU80" s="42" t="str">
        <f>IslandModel[[#This Row],[Input 4]]</f>
        <v/>
      </c>
      <c r="CV80" s="42">
        <f>-IslandModel[[#This Row],[Input 4 Consumed]]</f>
        <v>0</v>
      </c>
      <c r="CW80" s="42" t="str">
        <f>IslandModel[[#This Row],[Input 5]]</f>
        <v/>
      </c>
      <c r="CX80" s="42">
        <f>-IslandModel[[#This Row],[Input 5 Consumed]]</f>
        <v>0</v>
      </c>
      <c r="CY80" s="42" t="str">
        <f>IslandModel[[#This Row],[Input 6]]</f>
        <v/>
      </c>
      <c r="CZ80" s="42">
        <f>-IslandModel[[#This Row],[Input 6 Consumed]]</f>
        <v>0</v>
      </c>
      <c r="DA80" s="42" t="str">
        <f>IslandModel[[#This Row],[Input 7]]</f>
        <v/>
      </c>
      <c r="DB80" s="42">
        <f>-IslandModel[[#This Row],[Input 7 Consumed]]</f>
        <v>0</v>
      </c>
      <c r="DC80" s="42" t="str">
        <f>IslandModel[[#This Row],[Input 8]]</f>
        <v/>
      </c>
      <c r="DD80" s="42">
        <f>-IslandModel[[#This Row],[Input 8 Consumed]]</f>
        <v>0</v>
      </c>
      <c r="DE80" s="42" t="str">
        <f>IslandModel[[#This Row],[Input 9]]</f>
        <v/>
      </c>
      <c r="DF80" s="42">
        <f>-IslandModel[[#This Row],[Input 9 Consumed]]</f>
        <v>0</v>
      </c>
      <c r="DG80" s="42" t="str">
        <f>IslandModel[[#This Row],[Input 10]]</f>
        <v/>
      </c>
      <c r="DH80" s="42">
        <f>-IslandModel[[#This Row],[Input 10 Consumed]]</f>
        <v>0</v>
      </c>
      <c r="DJ80" s="55" t="s">
        <v>16</v>
      </c>
      <c r="DK80" s="39">
        <f>SUM(SUMIFS(IslandModel[Resource 1 Qty],IslandModel[Resource 1],ResourceAvailable[[#This Row],[Resource]]))</f>
        <v>0</v>
      </c>
      <c r="DL80"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80" s="39">
        <f>ResourceAvailable[[#This Row],[Amount Produced]]-ResourceAvailable[[#This Row],[Amount Consumed]]</f>
        <v>0</v>
      </c>
      <c r="DN80" s="20">
        <f>MAX(0,ResourceAvailable[[#This Row],[Amount Available for Resident Consumption]]-SUMIFS(ConsumptionModel[Resource Demand],ConsumptionModel[Resource],ResourceAvailable[[#This Row],[Resource]]))</f>
        <v>0</v>
      </c>
    </row>
    <row r="81" spans="30:118" ht="21" x14ac:dyDescent="0.65">
      <c r="AD81" s="83">
        <f>ROW()</f>
        <v>81</v>
      </c>
      <c r="AE81" s="106"/>
      <c r="AF81" s="72"/>
      <c r="AG81" s="18"/>
      <c r="AH81" s="18"/>
      <c r="AI81" s="156">
        <f>IFERROR(IslandModel[[#This Row],[Quantity]]/IslandModel[[#This Row],[Target Quantity]],0)</f>
        <v>0</v>
      </c>
      <c r="AJ81" s="61" t="str">
        <f>IFERROR(INDEX(Production[Resource Produced],MATCH(IslandModel[[#This Row],[Building]],Production[Building],0)),"")</f>
        <v/>
      </c>
      <c r="AK81" s="99">
        <f>IFERROR(IslandModel[[#This Row],[Quantity]]*INDEX(Production[Production in 1h],MATCH(IslandModel[[#This Row],[Building]],Production[Building],0))*IslandModel[[#This Row],[Input Consumption Multiplier]],0)</f>
        <v>0</v>
      </c>
      <c r="AL81" s="115">
        <f>100%</f>
        <v>1</v>
      </c>
      <c r="AM81"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81" s="77" t="str">
        <f>IFERROR(INDEX(Production[Input 1],MATCH(IslandModel[[#This Row],[Building]],Production[Building],0)),"")</f>
        <v/>
      </c>
      <c r="AO81" s="78"/>
      <c r="AP81"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81"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81"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81" s="35" t="str">
        <f>IFERROR(INDEX(Production[Input 2],MATCH(IslandModel[[#This Row],[Building]],Production[Building],0)),"")</f>
        <v/>
      </c>
      <c r="AT81" s="78"/>
      <c r="AU81"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81"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81"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81" s="35" t="str">
        <f>IFERROR(INDEX(Production[Input 3],MATCH(IslandModel[[#This Row],[Building]],Production[Building],0)),"")</f>
        <v/>
      </c>
      <c r="AY81" s="78"/>
      <c r="AZ81"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81"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81"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81" s="35" t="str">
        <f>IFERROR(INDEX(Production[Input 4],MATCH(IslandModel[[#This Row],[Building]],Production[Building],0)),"")</f>
        <v/>
      </c>
      <c r="BD81" s="78"/>
      <c r="BE81"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81"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81"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81" s="35" t="str">
        <f>IFERROR(INDEX(Production[Input 5],MATCH(IslandModel[[#This Row],[Building]],Production[Building],0)),"")</f>
        <v/>
      </c>
      <c r="BI81" s="78"/>
      <c r="BJ81"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81"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81"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81" s="35" t="str">
        <f>IFERROR(INDEX(Production[Input 6],MATCH(IslandModel[[#This Row],[Building]],Production[Building],0)),"")</f>
        <v/>
      </c>
      <c r="BN81" s="78"/>
      <c r="BO81"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81"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81"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81" s="35" t="str">
        <f>IFERROR(INDEX(Production[Input 7],MATCH(IslandModel[[#This Row],[Building]],Production[Building],0)),"")</f>
        <v/>
      </c>
      <c r="BS81" s="78"/>
      <c r="BT81"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81"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81"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81" s="35" t="str">
        <f>IFERROR(INDEX(Production[Input 8],MATCH(IslandModel[[#This Row],[Building]],Production[Building],0)),"")</f>
        <v/>
      </c>
      <c r="BX81" s="78"/>
      <c r="BY81"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81"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81"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81" s="35" t="str">
        <f>IFERROR(INDEX(Production[Input 9],MATCH(IslandModel[[#This Row],[Building]],Production[Building],0)),"")</f>
        <v/>
      </c>
      <c r="CC81" s="78"/>
      <c r="CD81"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81"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81"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81" s="35" t="str">
        <f>IFERROR(INDEX(Production[Input 10],MATCH(IslandModel[[#This Row],[Building]],Production[Building],0)),"")</f>
        <v/>
      </c>
      <c r="CH81" s="78"/>
      <c r="CI81"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81"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81"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81"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81" s="82" t="str">
        <f>IslandModel[[#This Row],[Resource Produced]]</f>
        <v/>
      </c>
      <c r="CN81" s="42">
        <f>IslandModel[[#This Row],[Amount produced/h]]</f>
        <v>0</v>
      </c>
      <c r="CO81" s="42" t="str">
        <f>IslandModel[[#This Row],[Input 1]]</f>
        <v/>
      </c>
      <c r="CP81" s="42">
        <f>-IslandModel[[#This Row],[Input 1 Consumed]]</f>
        <v>0</v>
      </c>
      <c r="CQ81" s="42" t="str">
        <f>IslandModel[[#This Row],[Input 2]]</f>
        <v/>
      </c>
      <c r="CR81" s="42">
        <f>-IslandModel[[#This Row],[Input 2 Consumed]]</f>
        <v>0</v>
      </c>
      <c r="CS81" s="42" t="str">
        <f>IslandModel[[#This Row],[Input 3]]</f>
        <v/>
      </c>
      <c r="CT81" s="42">
        <f>-IslandModel[[#This Row],[Input 3 Consumed]]</f>
        <v>0</v>
      </c>
      <c r="CU81" s="42" t="str">
        <f>IslandModel[[#This Row],[Input 4]]</f>
        <v/>
      </c>
      <c r="CV81" s="42">
        <f>-IslandModel[[#This Row],[Input 4 Consumed]]</f>
        <v>0</v>
      </c>
      <c r="CW81" s="42" t="str">
        <f>IslandModel[[#This Row],[Input 5]]</f>
        <v/>
      </c>
      <c r="CX81" s="42">
        <f>-IslandModel[[#This Row],[Input 5 Consumed]]</f>
        <v>0</v>
      </c>
      <c r="CY81" s="42" t="str">
        <f>IslandModel[[#This Row],[Input 6]]</f>
        <v/>
      </c>
      <c r="CZ81" s="42">
        <f>-IslandModel[[#This Row],[Input 6 Consumed]]</f>
        <v>0</v>
      </c>
      <c r="DA81" s="42" t="str">
        <f>IslandModel[[#This Row],[Input 7]]</f>
        <v/>
      </c>
      <c r="DB81" s="42">
        <f>-IslandModel[[#This Row],[Input 7 Consumed]]</f>
        <v>0</v>
      </c>
      <c r="DC81" s="42" t="str">
        <f>IslandModel[[#This Row],[Input 8]]</f>
        <v/>
      </c>
      <c r="DD81" s="42">
        <f>-IslandModel[[#This Row],[Input 8 Consumed]]</f>
        <v>0</v>
      </c>
      <c r="DE81" s="42" t="str">
        <f>IslandModel[[#This Row],[Input 9]]</f>
        <v/>
      </c>
      <c r="DF81" s="42">
        <f>-IslandModel[[#This Row],[Input 9 Consumed]]</f>
        <v>0</v>
      </c>
      <c r="DG81" s="42" t="str">
        <f>IslandModel[[#This Row],[Input 10]]</f>
        <v/>
      </c>
      <c r="DH81" s="42">
        <f>-IslandModel[[#This Row],[Input 10 Consumed]]</f>
        <v>0</v>
      </c>
      <c r="DJ81" t="s">
        <v>51</v>
      </c>
      <c r="DK81" s="39">
        <f>SUM(SUMIFS(IslandModel[Resource 1 Qty],IslandModel[Resource 1],ResourceAvailable[[#This Row],[Resource]]))</f>
        <v>3194</v>
      </c>
      <c r="DL81"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320</v>
      </c>
      <c r="DM81" s="39">
        <f>ResourceAvailable[[#This Row],[Amount Produced]]-ResourceAvailable[[#This Row],[Amount Consumed]]</f>
        <v>2874</v>
      </c>
      <c r="DN81" s="20">
        <f>MAX(0,ResourceAvailable[[#This Row],[Amount Available for Resident Consumption]]-SUMIFS(ConsumptionModel[Resource Demand],ConsumptionModel[Resource],ResourceAvailable[[#This Row],[Resource]]))</f>
        <v>2874</v>
      </c>
    </row>
    <row r="82" spans="30:118" ht="21" x14ac:dyDescent="0.65">
      <c r="AD82" s="83">
        <f>ROW()</f>
        <v>82</v>
      </c>
      <c r="AE82" s="106"/>
      <c r="AF82" s="72"/>
      <c r="AG82" s="18"/>
      <c r="AH82" s="18"/>
      <c r="AI82" s="156">
        <f>IFERROR(IslandModel[[#This Row],[Quantity]]/IslandModel[[#This Row],[Target Quantity]],0)</f>
        <v>0</v>
      </c>
      <c r="AJ82" s="61" t="str">
        <f>IFERROR(INDEX(Production[Resource Produced],MATCH(IslandModel[[#This Row],[Building]],Production[Building],0)),"")</f>
        <v/>
      </c>
      <c r="AK82" s="99">
        <f>IFERROR(IslandModel[[#This Row],[Quantity]]*INDEX(Production[Production in 1h],MATCH(IslandModel[[#This Row],[Building]],Production[Building],0))*IslandModel[[#This Row],[Input Consumption Multiplier]],0)</f>
        <v>0</v>
      </c>
      <c r="AL82" s="115">
        <f>100%</f>
        <v>1</v>
      </c>
      <c r="AM82"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82" s="77" t="str">
        <f>IFERROR(INDEX(Production[Input 1],MATCH(IslandModel[[#This Row],[Building]],Production[Building],0)),"")</f>
        <v/>
      </c>
      <c r="AO82" s="78"/>
      <c r="AP82"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82"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82"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82" s="35" t="str">
        <f>IFERROR(INDEX(Production[Input 2],MATCH(IslandModel[[#This Row],[Building]],Production[Building],0)),"")</f>
        <v/>
      </c>
      <c r="AT82" s="78"/>
      <c r="AU82"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82"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82"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82" s="35" t="str">
        <f>IFERROR(INDEX(Production[Input 3],MATCH(IslandModel[[#This Row],[Building]],Production[Building],0)),"")</f>
        <v/>
      </c>
      <c r="AY82" s="78"/>
      <c r="AZ82"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82"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82"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82" s="35" t="str">
        <f>IFERROR(INDEX(Production[Input 4],MATCH(IslandModel[[#This Row],[Building]],Production[Building],0)),"")</f>
        <v/>
      </c>
      <c r="BD82" s="78"/>
      <c r="BE82"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82"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82"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82" s="35" t="str">
        <f>IFERROR(INDEX(Production[Input 5],MATCH(IslandModel[[#This Row],[Building]],Production[Building],0)),"")</f>
        <v/>
      </c>
      <c r="BI82" s="78"/>
      <c r="BJ82"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82"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82"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82" s="35" t="str">
        <f>IFERROR(INDEX(Production[Input 6],MATCH(IslandModel[[#This Row],[Building]],Production[Building],0)),"")</f>
        <v/>
      </c>
      <c r="BN82" s="78"/>
      <c r="BO82"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82"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82"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82" s="35" t="str">
        <f>IFERROR(INDEX(Production[Input 7],MATCH(IslandModel[[#This Row],[Building]],Production[Building],0)),"")</f>
        <v/>
      </c>
      <c r="BS82" s="78"/>
      <c r="BT82"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82"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82"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82" s="35" t="str">
        <f>IFERROR(INDEX(Production[Input 8],MATCH(IslandModel[[#This Row],[Building]],Production[Building],0)),"")</f>
        <v/>
      </c>
      <c r="BX82" s="78"/>
      <c r="BY82"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82"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82"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82" s="35" t="str">
        <f>IFERROR(INDEX(Production[Input 9],MATCH(IslandModel[[#This Row],[Building]],Production[Building],0)),"")</f>
        <v/>
      </c>
      <c r="CC82" s="78"/>
      <c r="CD82"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82"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82"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82" s="35" t="str">
        <f>IFERROR(INDEX(Production[Input 10],MATCH(IslandModel[[#This Row],[Building]],Production[Building],0)),"")</f>
        <v/>
      </c>
      <c r="CH82" s="78"/>
      <c r="CI82"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82"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82"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82"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82" s="82" t="str">
        <f>IslandModel[[#This Row],[Resource Produced]]</f>
        <v/>
      </c>
      <c r="CN82" s="42">
        <f>IslandModel[[#This Row],[Amount produced/h]]</f>
        <v>0</v>
      </c>
      <c r="CO82" s="42" t="str">
        <f>IslandModel[[#This Row],[Input 1]]</f>
        <v/>
      </c>
      <c r="CP82" s="42">
        <f>-IslandModel[[#This Row],[Input 1 Consumed]]</f>
        <v>0</v>
      </c>
      <c r="CQ82" s="42" t="str">
        <f>IslandModel[[#This Row],[Input 2]]</f>
        <v/>
      </c>
      <c r="CR82" s="42">
        <f>-IslandModel[[#This Row],[Input 2 Consumed]]</f>
        <v>0</v>
      </c>
      <c r="CS82" s="42" t="str">
        <f>IslandModel[[#This Row],[Input 3]]</f>
        <v/>
      </c>
      <c r="CT82" s="42">
        <f>-IslandModel[[#This Row],[Input 3 Consumed]]</f>
        <v>0</v>
      </c>
      <c r="CU82" s="42" t="str">
        <f>IslandModel[[#This Row],[Input 4]]</f>
        <v/>
      </c>
      <c r="CV82" s="42">
        <f>-IslandModel[[#This Row],[Input 4 Consumed]]</f>
        <v>0</v>
      </c>
      <c r="CW82" s="42" t="str">
        <f>IslandModel[[#This Row],[Input 5]]</f>
        <v/>
      </c>
      <c r="CX82" s="42">
        <f>-IslandModel[[#This Row],[Input 5 Consumed]]</f>
        <v>0</v>
      </c>
      <c r="CY82" s="42" t="str">
        <f>IslandModel[[#This Row],[Input 6]]</f>
        <v/>
      </c>
      <c r="CZ82" s="42">
        <f>-IslandModel[[#This Row],[Input 6 Consumed]]</f>
        <v>0</v>
      </c>
      <c r="DA82" s="42" t="str">
        <f>IslandModel[[#This Row],[Input 7]]</f>
        <v/>
      </c>
      <c r="DB82" s="42">
        <f>-IslandModel[[#This Row],[Input 7 Consumed]]</f>
        <v>0</v>
      </c>
      <c r="DC82" s="42" t="str">
        <f>IslandModel[[#This Row],[Input 8]]</f>
        <v/>
      </c>
      <c r="DD82" s="42">
        <f>-IslandModel[[#This Row],[Input 8 Consumed]]</f>
        <v>0</v>
      </c>
      <c r="DE82" s="42" t="str">
        <f>IslandModel[[#This Row],[Input 9]]</f>
        <v/>
      </c>
      <c r="DF82" s="42">
        <f>-IslandModel[[#This Row],[Input 9 Consumed]]</f>
        <v>0</v>
      </c>
      <c r="DG82" s="42" t="str">
        <f>IslandModel[[#This Row],[Input 10]]</f>
        <v/>
      </c>
      <c r="DH82" s="42">
        <f>-IslandModel[[#This Row],[Input 10 Consumed]]</f>
        <v>0</v>
      </c>
      <c r="DJ82" t="s">
        <v>72</v>
      </c>
      <c r="DK82" s="39">
        <f>SUM(SUMIFS(IslandModel[Resource 1 Qty],IslandModel[Resource 1],ResourceAvailable[[#This Row],[Resource]]))</f>
        <v>0</v>
      </c>
      <c r="DL82"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82" s="39">
        <f>ResourceAvailable[[#This Row],[Amount Produced]]-ResourceAvailable[[#This Row],[Amount Consumed]]</f>
        <v>0</v>
      </c>
      <c r="DN82" s="20">
        <f>MAX(0,ResourceAvailable[[#This Row],[Amount Available for Resident Consumption]]-SUMIFS(ConsumptionModel[Resource Demand],ConsumptionModel[Resource],ResourceAvailable[[#This Row],[Resource]]))</f>
        <v>0</v>
      </c>
    </row>
    <row r="83" spans="30:118" ht="21" x14ac:dyDescent="0.65">
      <c r="AD83" s="83">
        <f>ROW()</f>
        <v>83</v>
      </c>
      <c r="AE83" s="106"/>
      <c r="AF83" s="72"/>
      <c r="AG83" s="18"/>
      <c r="AH83" s="18"/>
      <c r="AI83" s="156">
        <f>IFERROR(IslandModel[[#This Row],[Quantity]]/IslandModel[[#This Row],[Target Quantity]],0)</f>
        <v>0</v>
      </c>
      <c r="AJ83" s="61" t="str">
        <f>IFERROR(INDEX(Production[Resource Produced],MATCH(IslandModel[[#This Row],[Building]],Production[Building],0)),"")</f>
        <v/>
      </c>
      <c r="AK83" s="99">
        <f>IFERROR(IslandModel[[#This Row],[Quantity]]*INDEX(Production[Production in 1h],MATCH(IslandModel[[#This Row],[Building]],Production[Building],0))*IslandModel[[#This Row],[Input Consumption Multiplier]],0)</f>
        <v>0</v>
      </c>
      <c r="AL83" s="115">
        <f>100%</f>
        <v>1</v>
      </c>
      <c r="AM83"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83" s="77" t="str">
        <f>IFERROR(INDEX(Production[Input 1],MATCH(IslandModel[[#This Row],[Building]],Production[Building],0)),"")</f>
        <v/>
      </c>
      <c r="AO83" s="78"/>
      <c r="AP83"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83"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83"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83" s="35" t="str">
        <f>IFERROR(INDEX(Production[Input 2],MATCH(IslandModel[[#This Row],[Building]],Production[Building],0)),"")</f>
        <v/>
      </c>
      <c r="AT83" s="78"/>
      <c r="AU83"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83"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83"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83" s="35" t="str">
        <f>IFERROR(INDEX(Production[Input 3],MATCH(IslandModel[[#This Row],[Building]],Production[Building],0)),"")</f>
        <v/>
      </c>
      <c r="AY83" s="78"/>
      <c r="AZ83"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83"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83"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83" s="35" t="str">
        <f>IFERROR(INDEX(Production[Input 4],MATCH(IslandModel[[#This Row],[Building]],Production[Building],0)),"")</f>
        <v/>
      </c>
      <c r="BD83" s="78"/>
      <c r="BE83"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83"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83"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83" s="35" t="str">
        <f>IFERROR(INDEX(Production[Input 5],MATCH(IslandModel[[#This Row],[Building]],Production[Building],0)),"")</f>
        <v/>
      </c>
      <c r="BI83" s="78"/>
      <c r="BJ83"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83"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83"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83" s="35" t="str">
        <f>IFERROR(INDEX(Production[Input 6],MATCH(IslandModel[[#This Row],[Building]],Production[Building],0)),"")</f>
        <v/>
      </c>
      <c r="BN83" s="78"/>
      <c r="BO83"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83"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83"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83" s="35" t="str">
        <f>IFERROR(INDEX(Production[Input 7],MATCH(IslandModel[[#This Row],[Building]],Production[Building],0)),"")</f>
        <v/>
      </c>
      <c r="BS83" s="78"/>
      <c r="BT83"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83"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83"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83" s="35" t="str">
        <f>IFERROR(INDEX(Production[Input 8],MATCH(IslandModel[[#This Row],[Building]],Production[Building],0)),"")</f>
        <v/>
      </c>
      <c r="BX83" s="78"/>
      <c r="BY83"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83"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83"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83" s="35" t="str">
        <f>IFERROR(INDEX(Production[Input 9],MATCH(IslandModel[[#This Row],[Building]],Production[Building],0)),"")</f>
        <v/>
      </c>
      <c r="CC83" s="78"/>
      <c r="CD83"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83"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83"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83" s="35" t="str">
        <f>IFERROR(INDEX(Production[Input 10],MATCH(IslandModel[[#This Row],[Building]],Production[Building],0)),"")</f>
        <v/>
      </c>
      <c r="CH83" s="78"/>
      <c r="CI83"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83"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83"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83"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83" s="82" t="str">
        <f>IslandModel[[#This Row],[Resource Produced]]</f>
        <v/>
      </c>
      <c r="CN83" s="42">
        <f>IslandModel[[#This Row],[Amount produced/h]]</f>
        <v>0</v>
      </c>
      <c r="CO83" s="42" t="str">
        <f>IslandModel[[#This Row],[Input 1]]</f>
        <v/>
      </c>
      <c r="CP83" s="42">
        <f>-IslandModel[[#This Row],[Input 1 Consumed]]</f>
        <v>0</v>
      </c>
      <c r="CQ83" s="42" t="str">
        <f>IslandModel[[#This Row],[Input 2]]</f>
        <v/>
      </c>
      <c r="CR83" s="42">
        <f>-IslandModel[[#This Row],[Input 2 Consumed]]</f>
        <v>0</v>
      </c>
      <c r="CS83" s="42" t="str">
        <f>IslandModel[[#This Row],[Input 3]]</f>
        <v/>
      </c>
      <c r="CT83" s="42">
        <f>-IslandModel[[#This Row],[Input 3 Consumed]]</f>
        <v>0</v>
      </c>
      <c r="CU83" s="42" t="str">
        <f>IslandModel[[#This Row],[Input 4]]</f>
        <v/>
      </c>
      <c r="CV83" s="42">
        <f>-IslandModel[[#This Row],[Input 4 Consumed]]</f>
        <v>0</v>
      </c>
      <c r="CW83" s="42" t="str">
        <f>IslandModel[[#This Row],[Input 5]]</f>
        <v/>
      </c>
      <c r="CX83" s="42">
        <f>-IslandModel[[#This Row],[Input 5 Consumed]]</f>
        <v>0</v>
      </c>
      <c r="CY83" s="42" t="str">
        <f>IslandModel[[#This Row],[Input 6]]</f>
        <v/>
      </c>
      <c r="CZ83" s="42">
        <f>-IslandModel[[#This Row],[Input 6 Consumed]]</f>
        <v>0</v>
      </c>
      <c r="DA83" s="42" t="str">
        <f>IslandModel[[#This Row],[Input 7]]</f>
        <v/>
      </c>
      <c r="DB83" s="42">
        <f>-IslandModel[[#This Row],[Input 7 Consumed]]</f>
        <v>0</v>
      </c>
      <c r="DC83" s="42" t="str">
        <f>IslandModel[[#This Row],[Input 8]]</f>
        <v/>
      </c>
      <c r="DD83" s="42">
        <f>-IslandModel[[#This Row],[Input 8 Consumed]]</f>
        <v>0</v>
      </c>
      <c r="DE83" s="42" t="str">
        <f>IslandModel[[#This Row],[Input 9]]</f>
        <v/>
      </c>
      <c r="DF83" s="42">
        <f>-IslandModel[[#This Row],[Input 9 Consumed]]</f>
        <v>0</v>
      </c>
      <c r="DG83" s="42" t="str">
        <f>IslandModel[[#This Row],[Input 10]]</f>
        <v/>
      </c>
      <c r="DH83" s="42">
        <f>-IslandModel[[#This Row],[Input 10 Consumed]]</f>
        <v>0</v>
      </c>
      <c r="DJ83" t="s">
        <v>69</v>
      </c>
      <c r="DK83" s="39">
        <f>SUM(SUMIFS(IslandModel[Resource 1 Qty],IslandModel[Resource 1],ResourceAvailable[[#This Row],[Resource]]))</f>
        <v>0</v>
      </c>
      <c r="DL83"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83" s="39">
        <f>ResourceAvailable[[#This Row],[Amount Produced]]-ResourceAvailable[[#This Row],[Amount Consumed]]</f>
        <v>0</v>
      </c>
      <c r="DN83" s="20">
        <f>MAX(0,ResourceAvailable[[#This Row],[Amount Available for Resident Consumption]]-SUMIFS(ConsumptionModel[Resource Demand],ConsumptionModel[Resource],ResourceAvailable[[#This Row],[Resource]]))</f>
        <v>0</v>
      </c>
    </row>
    <row r="84" spans="30:118" ht="21" x14ac:dyDescent="0.65">
      <c r="AD84" s="83">
        <f>ROW()</f>
        <v>84</v>
      </c>
      <c r="AE84" s="106"/>
      <c r="AF84" s="72"/>
      <c r="AG84" s="18"/>
      <c r="AH84" s="18"/>
      <c r="AI84" s="156">
        <f>IFERROR(IslandModel[[#This Row],[Quantity]]/IslandModel[[#This Row],[Target Quantity]],0)</f>
        <v>0</v>
      </c>
      <c r="AJ84" s="61" t="str">
        <f>IFERROR(INDEX(Production[Resource Produced],MATCH(IslandModel[[#This Row],[Building]],Production[Building],0)),"")</f>
        <v/>
      </c>
      <c r="AK84" s="99">
        <f>IFERROR(IslandModel[[#This Row],[Quantity]]*INDEX(Production[Production in 1h],MATCH(IslandModel[[#This Row],[Building]],Production[Building],0))*IslandModel[[#This Row],[Input Consumption Multiplier]],0)</f>
        <v>0</v>
      </c>
      <c r="AL84" s="115">
        <f>100%</f>
        <v>1</v>
      </c>
      <c r="AM84"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84" s="77" t="str">
        <f>IFERROR(INDEX(Production[Input 1],MATCH(IslandModel[[#This Row],[Building]],Production[Building],0)),"")</f>
        <v/>
      </c>
      <c r="AO84" s="78"/>
      <c r="AP84"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84"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84"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84" s="35" t="str">
        <f>IFERROR(INDEX(Production[Input 2],MATCH(IslandModel[[#This Row],[Building]],Production[Building],0)),"")</f>
        <v/>
      </c>
      <c r="AT84" s="78"/>
      <c r="AU84"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84"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84"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84" s="35" t="str">
        <f>IFERROR(INDEX(Production[Input 3],MATCH(IslandModel[[#This Row],[Building]],Production[Building],0)),"")</f>
        <v/>
      </c>
      <c r="AY84" s="78"/>
      <c r="AZ84"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84"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84"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84" s="35" t="str">
        <f>IFERROR(INDEX(Production[Input 4],MATCH(IslandModel[[#This Row],[Building]],Production[Building],0)),"")</f>
        <v/>
      </c>
      <c r="BD84" s="78"/>
      <c r="BE84"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84"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84"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84" s="35" t="str">
        <f>IFERROR(INDEX(Production[Input 5],MATCH(IslandModel[[#This Row],[Building]],Production[Building],0)),"")</f>
        <v/>
      </c>
      <c r="BI84" s="78"/>
      <c r="BJ84"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84"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84"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84" s="35" t="str">
        <f>IFERROR(INDEX(Production[Input 6],MATCH(IslandModel[[#This Row],[Building]],Production[Building],0)),"")</f>
        <v/>
      </c>
      <c r="BN84" s="78"/>
      <c r="BO84"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84"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84"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84" s="35" t="str">
        <f>IFERROR(INDEX(Production[Input 7],MATCH(IslandModel[[#This Row],[Building]],Production[Building],0)),"")</f>
        <v/>
      </c>
      <c r="BS84" s="78"/>
      <c r="BT84"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84"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84"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84" s="35" t="str">
        <f>IFERROR(INDEX(Production[Input 8],MATCH(IslandModel[[#This Row],[Building]],Production[Building],0)),"")</f>
        <v/>
      </c>
      <c r="BX84" s="78"/>
      <c r="BY84"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84"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84"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84" s="35" t="str">
        <f>IFERROR(INDEX(Production[Input 9],MATCH(IslandModel[[#This Row],[Building]],Production[Building],0)),"")</f>
        <v/>
      </c>
      <c r="CC84" s="78"/>
      <c r="CD84"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84"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84"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84" s="35" t="str">
        <f>IFERROR(INDEX(Production[Input 10],MATCH(IslandModel[[#This Row],[Building]],Production[Building],0)),"")</f>
        <v/>
      </c>
      <c r="CH84" s="78"/>
      <c r="CI84"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84"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84"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84"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84" s="82" t="str">
        <f>IslandModel[[#This Row],[Resource Produced]]</f>
        <v/>
      </c>
      <c r="CN84" s="42">
        <f>IslandModel[[#This Row],[Amount produced/h]]</f>
        <v>0</v>
      </c>
      <c r="CO84" s="42" t="str">
        <f>IslandModel[[#This Row],[Input 1]]</f>
        <v/>
      </c>
      <c r="CP84" s="42">
        <f>-IslandModel[[#This Row],[Input 1 Consumed]]</f>
        <v>0</v>
      </c>
      <c r="CQ84" s="42" t="str">
        <f>IslandModel[[#This Row],[Input 2]]</f>
        <v/>
      </c>
      <c r="CR84" s="42">
        <f>-IslandModel[[#This Row],[Input 2 Consumed]]</f>
        <v>0</v>
      </c>
      <c r="CS84" s="42" t="str">
        <f>IslandModel[[#This Row],[Input 3]]</f>
        <v/>
      </c>
      <c r="CT84" s="42">
        <f>-IslandModel[[#This Row],[Input 3 Consumed]]</f>
        <v>0</v>
      </c>
      <c r="CU84" s="42" t="str">
        <f>IslandModel[[#This Row],[Input 4]]</f>
        <v/>
      </c>
      <c r="CV84" s="42">
        <f>-IslandModel[[#This Row],[Input 4 Consumed]]</f>
        <v>0</v>
      </c>
      <c r="CW84" s="42" t="str">
        <f>IslandModel[[#This Row],[Input 5]]</f>
        <v/>
      </c>
      <c r="CX84" s="42">
        <f>-IslandModel[[#This Row],[Input 5 Consumed]]</f>
        <v>0</v>
      </c>
      <c r="CY84" s="42" t="str">
        <f>IslandModel[[#This Row],[Input 6]]</f>
        <v/>
      </c>
      <c r="CZ84" s="42">
        <f>-IslandModel[[#This Row],[Input 6 Consumed]]</f>
        <v>0</v>
      </c>
      <c r="DA84" s="42" t="str">
        <f>IslandModel[[#This Row],[Input 7]]</f>
        <v/>
      </c>
      <c r="DB84" s="42">
        <f>-IslandModel[[#This Row],[Input 7 Consumed]]</f>
        <v>0</v>
      </c>
      <c r="DC84" s="42" t="str">
        <f>IslandModel[[#This Row],[Input 8]]</f>
        <v/>
      </c>
      <c r="DD84" s="42">
        <f>-IslandModel[[#This Row],[Input 8 Consumed]]</f>
        <v>0</v>
      </c>
      <c r="DE84" s="42" t="str">
        <f>IslandModel[[#This Row],[Input 9]]</f>
        <v/>
      </c>
      <c r="DF84" s="42">
        <f>-IslandModel[[#This Row],[Input 9 Consumed]]</f>
        <v>0</v>
      </c>
      <c r="DG84" s="42" t="str">
        <f>IslandModel[[#This Row],[Input 10]]</f>
        <v/>
      </c>
      <c r="DH84" s="42">
        <f>-IslandModel[[#This Row],[Input 10 Consumed]]</f>
        <v>0</v>
      </c>
      <c r="DJ84" t="s">
        <v>149</v>
      </c>
      <c r="DK84" s="39">
        <f>SUM(SUMIFS(IslandModel[Resource 1 Qty],IslandModel[Resource 1],ResourceAvailable[[#This Row],[Resource]]))</f>
        <v>0</v>
      </c>
      <c r="DL84"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84" s="39">
        <f>ResourceAvailable[[#This Row],[Amount Produced]]-ResourceAvailable[[#This Row],[Amount Consumed]]</f>
        <v>0</v>
      </c>
      <c r="DN84" s="20">
        <f>MAX(0,ResourceAvailable[[#This Row],[Amount Available for Resident Consumption]]-SUMIFS(ConsumptionModel[Resource Demand],ConsumptionModel[Resource],ResourceAvailable[[#This Row],[Resource]]))</f>
        <v>0</v>
      </c>
    </row>
    <row r="85" spans="30:118" ht="21" x14ac:dyDescent="0.65">
      <c r="AD85" s="83">
        <f>ROW()</f>
        <v>85</v>
      </c>
      <c r="AE85" s="106"/>
      <c r="AF85" s="72"/>
      <c r="AG85" s="18"/>
      <c r="AH85" s="18"/>
      <c r="AI85" s="156">
        <f>IFERROR(IslandModel[[#This Row],[Quantity]]/IslandModel[[#This Row],[Target Quantity]],0)</f>
        <v>0</v>
      </c>
      <c r="AJ85" s="61" t="str">
        <f>IFERROR(INDEX(Production[Resource Produced],MATCH(IslandModel[[#This Row],[Building]],Production[Building],0)),"")</f>
        <v/>
      </c>
      <c r="AK85" s="99">
        <f>IFERROR(IslandModel[[#This Row],[Quantity]]*INDEX(Production[Production in 1h],MATCH(IslandModel[[#This Row],[Building]],Production[Building],0))*IslandModel[[#This Row],[Input Consumption Multiplier]],0)</f>
        <v>0</v>
      </c>
      <c r="AL85" s="115">
        <f>100%</f>
        <v>1</v>
      </c>
      <c r="AM85"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85" s="77" t="str">
        <f>IFERROR(INDEX(Production[Input 1],MATCH(IslandModel[[#This Row],[Building]],Production[Building],0)),"")</f>
        <v/>
      </c>
      <c r="AO85" s="78"/>
      <c r="AP85"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85"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85"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85" s="35" t="str">
        <f>IFERROR(INDEX(Production[Input 2],MATCH(IslandModel[[#This Row],[Building]],Production[Building],0)),"")</f>
        <v/>
      </c>
      <c r="AT85" s="78"/>
      <c r="AU85"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85"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85"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85" s="35" t="str">
        <f>IFERROR(INDEX(Production[Input 3],MATCH(IslandModel[[#This Row],[Building]],Production[Building],0)),"")</f>
        <v/>
      </c>
      <c r="AY85" s="78"/>
      <c r="AZ85"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85"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85"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85" s="35" t="str">
        <f>IFERROR(INDEX(Production[Input 4],MATCH(IslandModel[[#This Row],[Building]],Production[Building],0)),"")</f>
        <v/>
      </c>
      <c r="BD85" s="78"/>
      <c r="BE85"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85"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85"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85" s="35" t="str">
        <f>IFERROR(INDEX(Production[Input 5],MATCH(IslandModel[[#This Row],[Building]],Production[Building],0)),"")</f>
        <v/>
      </c>
      <c r="BI85" s="78"/>
      <c r="BJ85"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85"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85"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85" s="35" t="str">
        <f>IFERROR(INDEX(Production[Input 6],MATCH(IslandModel[[#This Row],[Building]],Production[Building],0)),"")</f>
        <v/>
      </c>
      <c r="BN85" s="78"/>
      <c r="BO85"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85"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85"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85" s="35" t="str">
        <f>IFERROR(INDEX(Production[Input 7],MATCH(IslandModel[[#This Row],[Building]],Production[Building],0)),"")</f>
        <v/>
      </c>
      <c r="BS85" s="78"/>
      <c r="BT85"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85"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85"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85" s="35" t="str">
        <f>IFERROR(INDEX(Production[Input 8],MATCH(IslandModel[[#This Row],[Building]],Production[Building],0)),"")</f>
        <v/>
      </c>
      <c r="BX85" s="78"/>
      <c r="BY85"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85"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85"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85" s="35" t="str">
        <f>IFERROR(INDEX(Production[Input 9],MATCH(IslandModel[[#This Row],[Building]],Production[Building],0)),"")</f>
        <v/>
      </c>
      <c r="CC85" s="78"/>
      <c r="CD85"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85"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85"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85" s="35" t="str">
        <f>IFERROR(INDEX(Production[Input 10],MATCH(IslandModel[[#This Row],[Building]],Production[Building],0)),"")</f>
        <v/>
      </c>
      <c r="CH85" s="78"/>
      <c r="CI85"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85"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85"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85"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85" s="82" t="str">
        <f>IslandModel[[#This Row],[Resource Produced]]</f>
        <v/>
      </c>
      <c r="CN85" s="42">
        <f>IslandModel[[#This Row],[Amount produced/h]]</f>
        <v>0</v>
      </c>
      <c r="CO85" s="42" t="str">
        <f>IslandModel[[#This Row],[Input 1]]</f>
        <v/>
      </c>
      <c r="CP85" s="42">
        <f>-IslandModel[[#This Row],[Input 1 Consumed]]</f>
        <v>0</v>
      </c>
      <c r="CQ85" s="42" t="str">
        <f>IslandModel[[#This Row],[Input 2]]</f>
        <v/>
      </c>
      <c r="CR85" s="42">
        <f>-IslandModel[[#This Row],[Input 2 Consumed]]</f>
        <v>0</v>
      </c>
      <c r="CS85" s="42" t="str">
        <f>IslandModel[[#This Row],[Input 3]]</f>
        <v/>
      </c>
      <c r="CT85" s="42">
        <f>-IslandModel[[#This Row],[Input 3 Consumed]]</f>
        <v>0</v>
      </c>
      <c r="CU85" s="42" t="str">
        <f>IslandModel[[#This Row],[Input 4]]</f>
        <v/>
      </c>
      <c r="CV85" s="42">
        <f>-IslandModel[[#This Row],[Input 4 Consumed]]</f>
        <v>0</v>
      </c>
      <c r="CW85" s="42" t="str">
        <f>IslandModel[[#This Row],[Input 5]]</f>
        <v/>
      </c>
      <c r="CX85" s="42">
        <f>-IslandModel[[#This Row],[Input 5 Consumed]]</f>
        <v>0</v>
      </c>
      <c r="CY85" s="42" t="str">
        <f>IslandModel[[#This Row],[Input 6]]</f>
        <v/>
      </c>
      <c r="CZ85" s="42">
        <f>-IslandModel[[#This Row],[Input 6 Consumed]]</f>
        <v>0</v>
      </c>
      <c r="DA85" s="42" t="str">
        <f>IslandModel[[#This Row],[Input 7]]</f>
        <v/>
      </c>
      <c r="DB85" s="42">
        <f>-IslandModel[[#This Row],[Input 7 Consumed]]</f>
        <v>0</v>
      </c>
      <c r="DC85" s="42" t="str">
        <f>IslandModel[[#This Row],[Input 8]]</f>
        <v/>
      </c>
      <c r="DD85" s="42">
        <f>-IslandModel[[#This Row],[Input 8 Consumed]]</f>
        <v>0</v>
      </c>
      <c r="DE85" s="42" t="str">
        <f>IslandModel[[#This Row],[Input 9]]</f>
        <v/>
      </c>
      <c r="DF85" s="42">
        <f>-IslandModel[[#This Row],[Input 9 Consumed]]</f>
        <v>0</v>
      </c>
      <c r="DG85" s="42" t="str">
        <f>IslandModel[[#This Row],[Input 10]]</f>
        <v/>
      </c>
      <c r="DH85" s="42">
        <f>-IslandModel[[#This Row],[Input 10 Consumed]]</f>
        <v>0</v>
      </c>
      <c r="DJ85" t="s">
        <v>377</v>
      </c>
      <c r="DK85" s="39">
        <f>SUM(SUMIFS(IslandModel[Resource 1 Qty],IslandModel[Resource 1],ResourceAvailable[[#This Row],[Resource]]))</f>
        <v>0</v>
      </c>
      <c r="DL85"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85" s="39">
        <f>ResourceAvailable[[#This Row],[Amount Produced]]-ResourceAvailable[[#This Row],[Amount Consumed]]</f>
        <v>0</v>
      </c>
      <c r="DN85" s="20">
        <f>MAX(0,ResourceAvailable[[#This Row],[Amount Available for Resident Consumption]]-SUMIFS(ConsumptionModel[Resource Demand],ConsumptionModel[Resource],ResourceAvailable[[#This Row],[Resource]]))</f>
        <v>0</v>
      </c>
    </row>
    <row r="86" spans="30:118" ht="21" x14ac:dyDescent="0.65">
      <c r="AD86" s="83">
        <f>ROW()</f>
        <v>86</v>
      </c>
      <c r="AE86" s="106"/>
      <c r="AF86" s="72"/>
      <c r="AG86" s="18"/>
      <c r="AH86" s="18"/>
      <c r="AI86" s="156">
        <f>IFERROR(IslandModel[[#This Row],[Quantity]]/IslandModel[[#This Row],[Target Quantity]],0)</f>
        <v>0</v>
      </c>
      <c r="AJ86" s="61" t="str">
        <f>IFERROR(INDEX(Production[Resource Produced],MATCH(IslandModel[[#This Row],[Building]],Production[Building],0)),"")</f>
        <v/>
      </c>
      <c r="AK86" s="99">
        <f>IFERROR(IslandModel[[#This Row],[Quantity]]*INDEX(Production[Production in 1h],MATCH(IslandModel[[#This Row],[Building]],Production[Building],0))*IslandModel[[#This Row],[Input Consumption Multiplier]],0)</f>
        <v>0</v>
      </c>
      <c r="AL86" s="115">
        <f>100%</f>
        <v>1</v>
      </c>
      <c r="AM86"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86" s="77" t="str">
        <f>IFERROR(INDEX(Production[Input 1],MATCH(IslandModel[[#This Row],[Building]],Production[Building],0)),"")</f>
        <v/>
      </c>
      <c r="AO86" s="78"/>
      <c r="AP86"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86"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86"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86" s="35" t="str">
        <f>IFERROR(INDEX(Production[Input 2],MATCH(IslandModel[[#This Row],[Building]],Production[Building],0)),"")</f>
        <v/>
      </c>
      <c r="AT86" s="78"/>
      <c r="AU86"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86"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86"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86" s="35" t="str">
        <f>IFERROR(INDEX(Production[Input 3],MATCH(IslandModel[[#This Row],[Building]],Production[Building],0)),"")</f>
        <v/>
      </c>
      <c r="AY86" s="78"/>
      <c r="AZ86"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86"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86"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86" s="35" t="str">
        <f>IFERROR(INDEX(Production[Input 4],MATCH(IslandModel[[#This Row],[Building]],Production[Building],0)),"")</f>
        <v/>
      </c>
      <c r="BD86" s="78"/>
      <c r="BE86"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86"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86"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86" s="35" t="str">
        <f>IFERROR(INDEX(Production[Input 5],MATCH(IslandModel[[#This Row],[Building]],Production[Building],0)),"")</f>
        <v/>
      </c>
      <c r="BI86" s="78"/>
      <c r="BJ86"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86"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86"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86" s="35" t="str">
        <f>IFERROR(INDEX(Production[Input 6],MATCH(IslandModel[[#This Row],[Building]],Production[Building],0)),"")</f>
        <v/>
      </c>
      <c r="BN86" s="78"/>
      <c r="BO86"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86"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86"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86" s="35" t="str">
        <f>IFERROR(INDEX(Production[Input 7],MATCH(IslandModel[[#This Row],[Building]],Production[Building],0)),"")</f>
        <v/>
      </c>
      <c r="BS86" s="78"/>
      <c r="BT86"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86"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86"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86" s="35" t="str">
        <f>IFERROR(INDEX(Production[Input 8],MATCH(IslandModel[[#This Row],[Building]],Production[Building],0)),"")</f>
        <v/>
      </c>
      <c r="BX86" s="78"/>
      <c r="BY86"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86"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86"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86" s="35" t="str">
        <f>IFERROR(INDEX(Production[Input 9],MATCH(IslandModel[[#This Row],[Building]],Production[Building],0)),"")</f>
        <v/>
      </c>
      <c r="CC86" s="78"/>
      <c r="CD86"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86"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86"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86" s="35" t="str">
        <f>IFERROR(INDEX(Production[Input 10],MATCH(IslandModel[[#This Row],[Building]],Production[Building],0)),"")</f>
        <v/>
      </c>
      <c r="CH86" s="78"/>
      <c r="CI86"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86"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86"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86"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86" s="82" t="str">
        <f>IslandModel[[#This Row],[Resource Produced]]</f>
        <v/>
      </c>
      <c r="CN86" s="42">
        <f>IslandModel[[#This Row],[Amount produced/h]]</f>
        <v>0</v>
      </c>
      <c r="CO86" s="42" t="str">
        <f>IslandModel[[#This Row],[Input 1]]</f>
        <v/>
      </c>
      <c r="CP86" s="42">
        <f>-IslandModel[[#This Row],[Input 1 Consumed]]</f>
        <v>0</v>
      </c>
      <c r="CQ86" s="42" t="str">
        <f>IslandModel[[#This Row],[Input 2]]</f>
        <v/>
      </c>
      <c r="CR86" s="42">
        <f>-IslandModel[[#This Row],[Input 2 Consumed]]</f>
        <v>0</v>
      </c>
      <c r="CS86" s="42" t="str">
        <f>IslandModel[[#This Row],[Input 3]]</f>
        <v/>
      </c>
      <c r="CT86" s="42">
        <f>-IslandModel[[#This Row],[Input 3 Consumed]]</f>
        <v>0</v>
      </c>
      <c r="CU86" s="42" t="str">
        <f>IslandModel[[#This Row],[Input 4]]</f>
        <v/>
      </c>
      <c r="CV86" s="42">
        <f>-IslandModel[[#This Row],[Input 4 Consumed]]</f>
        <v>0</v>
      </c>
      <c r="CW86" s="42" t="str">
        <f>IslandModel[[#This Row],[Input 5]]</f>
        <v/>
      </c>
      <c r="CX86" s="42">
        <f>-IslandModel[[#This Row],[Input 5 Consumed]]</f>
        <v>0</v>
      </c>
      <c r="CY86" s="42" t="str">
        <f>IslandModel[[#This Row],[Input 6]]</f>
        <v/>
      </c>
      <c r="CZ86" s="42">
        <f>-IslandModel[[#This Row],[Input 6 Consumed]]</f>
        <v>0</v>
      </c>
      <c r="DA86" s="42" t="str">
        <f>IslandModel[[#This Row],[Input 7]]</f>
        <v/>
      </c>
      <c r="DB86" s="42">
        <f>-IslandModel[[#This Row],[Input 7 Consumed]]</f>
        <v>0</v>
      </c>
      <c r="DC86" s="42" t="str">
        <f>IslandModel[[#This Row],[Input 8]]</f>
        <v/>
      </c>
      <c r="DD86" s="42">
        <f>-IslandModel[[#This Row],[Input 8 Consumed]]</f>
        <v>0</v>
      </c>
      <c r="DE86" s="42" t="str">
        <f>IslandModel[[#This Row],[Input 9]]</f>
        <v/>
      </c>
      <c r="DF86" s="42">
        <f>-IslandModel[[#This Row],[Input 9 Consumed]]</f>
        <v>0</v>
      </c>
      <c r="DG86" s="42" t="str">
        <f>IslandModel[[#This Row],[Input 10]]</f>
        <v/>
      </c>
      <c r="DH86" s="42">
        <f>-IslandModel[[#This Row],[Input 10 Consumed]]</f>
        <v>0</v>
      </c>
      <c r="DJ86" t="s">
        <v>378</v>
      </c>
      <c r="DK86" s="39">
        <f>SUM(SUMIFS(IslandModel[Resource 1 Qty],IslandModel[Resource 1],ResourceAvailable[[#This Row],[Resource]]))</f>
        <v>0</v>
      </c>
      <c r="DL86"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86" s="39">
        <f>ResourceAvailable[[#This Row],[Amount Produced]]-ResourceAvailable[[#This Row],[Amount Consumed]]</f>
        <v>0</v>
      </c>
      <c r="DN86" s="20">
        <f>MAX(0,ResourceAvailable[[#This Row],[Amount Available for Resident Consumption]]-SUMIFS(ConsumptionModel[Resource Demand],ConsumptionModel[Resource],ResourceAvailable[[#This Row],[Resource]]))</f>
        <v>0</v>
      </c>
    </row>
    <row r="87" spans="30:118" ht="21" x14ac:dyDescent="0.65">
      <c r="AD87" s="83">
        <f>ROW()</f>
        <v>87</v>
      </c>
      <c r="AE87" s="106"/>
      <c r="AF87" s="72"/>
      <c r="AG87" s="18"/>
      <c r="AH87" s="18"/>
      <c r="AI87" s="156">
        <f>IFERROR(IslandModel[[#This Row],[Quantity]]/IslandModel[[#This Row],[Target Quantity]],0)</f>
        <v>0</v>
      </c>
      <c r="AJ87" s="61" t="str">
        <f>IFERROR(INDEX(Production[Resource Produced],MATCH(IslandModel[[#This Row],[Building]],Production[Building],0)),"")</f>
        <v/>
      </c>
      <c r="AK87" s="99">
        <f>IFERROR(IslandModel[[#This Row],[Quantity]]*INDEX(Production[Production in 1h],MATCH(IslandModel[[#This Row],[Building]],Production[Building],0))*IslandModel[[#This Row],[Input Consumption Multiplier]],0)</f>
        <v>0</v>
      </c>
      <c r="AL87" s="115">
        <f>100%</f>
        <v>1</v>
      </c>
      <c r="AM87"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87" s="77" t="str">
        <f>IFERROR(INDEX(Production[Input 1],MATCH(IslandModel[[#This Row],[Building]],Production[Building],0)),"")</f>
        <v/>
      </c>
      <c r="AO87" s="78"/>
      <c r="AP87"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87"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87"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87" s="35" t="str">
        <f>IFERROR(INDEX(Production[Input 2],MATCH(IslandModel[[#This Row],[Building]],Production[Building],0)),"")</f>
        <v/>
      </c>
      <c r="AT87" s="78"/>
      <c r="AU87"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87"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87"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87" s="35" t="str">
        <f>IFERROR(INDEX(Production[Input 3],MATCH(IslandModel[[#This Row],[Building]],Production[Building],0)),"")</f>
        <v/>
      </c>
      <c r="AY87" s="78"/>
      <c r="AZ87"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87"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87"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87" s="35" t="str">
        <f>IFERROR(INDEX(Production[Input 4],MATCH(IslandModel[[#This Row],[Building]],Production[Building],0)),"")</f>
        <v/>
      </c>
      <c r="BD87" s="78"/>
      <c r="BE87"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87"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87"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87" s="35" t="str">
        <f>IFERROR(INDEX(Production[Input 5],MATCH(IslandModel[[#This Row],[Building]],Production[Building],0)),"")</f>
        <v/>
      </c>
      <c r="BI87" s="78"/>
      <c r="BJ87"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87"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87"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87" s="35" t="str">
        <f>IFERROR(INDEX(Production[Input 6],MATCH(IslandModel[[#This Row],[Building]],Production[Building],0)),"")</f>
        <v/>
      </c>
      <c r="BN87" s="78"/>
      <c r="BO87"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87"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87"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87" s="35" t="str">
        <f>IFERROR(INDEX(Production[Input 7],MATCH(IslandModel[[#This Row],[Building]],Production[Building],0)),"")</f>
        <v/>
      </c>
      <c r="BS87" s="78"/>
      <c r="BT87"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87"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87"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87" s="35" t="str">
        <f>IFERROR(INDEX(Production[Input 8],MATCH(IslandModel[[#This Row],[Building]],Production[Building],0)),"")</f>
        <v/>
      </c>
      <c r="BX87" s="78"/>
      <c r="BY87"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87"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87"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87" s="35" t="str">
        <f>IFERROR(INDEX(Production[Input 9],MATCH(IslandModel[[#This Row],[Building]],Production[Building],0)),"")</f>
        <v/>
      </c>
      <c r="CC87" s="78"/>
      <c r="CD87"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87"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87"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87" s="35" t="str">
        <f>IFERROR(INDEX(Production[Input 10],MATCH(IslandModel[[#This Row],[Building]],Production[Building],0)),"")</f>
        <v/>
      </c>
      <c r="CH87" s="78"/>
      <c r="CI87"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87"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87"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87"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87" s="82" t="str">
        <f>IslandModel[[#This Row],[Resource Produced]]</f>
        <v/>
      </c>
      <c r="CN87" s="42">
        <f>IslandModel[[#This Row],[Amount produced/h]]</f>
        <v>0</v>
      </c>
      <c r="CO87" s="42" t="str">
        <f>IslandModel[[#This Row],[Input 1]]</f>
        <v/>
      </c>
      <c r="CP87" s="42">
        <f>-IslandModel[[#This Row],[Input 1 Consumed]]</f>
        <v>0</v>
      </c>
      <c r="CQ87" s="42" t="str">
        <f>IslandModel[[#This Row],[Input 2]]</f>
        <v/>
      </c>
      <c r="CR87" s="42">
        <f>-IslandModel[[#This Row],[Input 2 Consumed]]</f>
        <v>0</v>
      </c>
      <c r="CS87" s="42" t="str">
        <f>IslandModel[[#This Row],[Input 3]]</f>
        <v/>
      </c>
      <c r="CT87" s="42">
        <f>-IslandModel[[#This Row],[Input 3 Consumed]]</f>
        <v>0</v>
      </c>
      <c r="CU87" s="42" t="str">
        <f>IslandModel[[#This Row],[Input 4]]</f>
        <v/>
      </c>
      <c r="CV87" s="42">
        <f>-IslandModel[[#This Row],[Input 4 Consumed]]</f>
        <v>0</v>
      </c>
      <c r="CW87" s="42" t="str">
        <f>IslandModel[[#This Row],[Input 5]]</f>
        <v/>
      </c>
      <c r="CX87" s="42">
        <f>-IslandModel[[#This Row],[Input 5 Consumed]]</f>
        <v>0</v>
      </c>
      <c r="CY87" s="42" t="str">
        <f>IslandModel[[#This Row],[Input 6]]</f>
        <v/>
      </c>
      <c r="CZ87" s="42">
        <f>-IslandModel[[#This Row],[Input 6 Consumed]]</f>
        <v>0</v>
      </c>
      <c r="DA87" s="42" t="str">
        <f>IslandModel[[#This Row],[Input 7]]</f>
        <v/>
      </c>
      <c r="DB87" s="42">
        <f>-IslandModel[[#This Row],[Input 7 Consumed]]</f>
        <v>0</v>
      </c>
      <c r="DC87" s="42" t="str">
        <f>IslandModel[[#This Row],[Input 8]]</f>
        <v/>
      </c>
      <c r="DD87" s="42">
        <f>-IslandModel[[#This Row],[Input 8 Consumed]]</f>
        <v>0</v>
      </c>
      <c r="DE87" s="42" t="str">
        <f>IslandModel[[#This Row],[Input 9]]</f>
        <v/>
      </c>
      <c r="DF87" s="42">
        <f>-IslandModel[[#This Row],[Input 9 Consumed]]</f>
        <v>0</v>
      </c>
      <c r="DG87" s="42" t="str">
        <f>IslandModel[[#This Row],[Input 10]]</f>
        <v/>
      </c>
      <c r="DH87" s="42">
        <f>-IslandModel[[#This Row],[Input 10 Consumed]]</f>
        <v>0</v>
      </c>
      <c r="DJ87" s="55" t="s">
        <v>127</v>
      </c>
      <c r="DK87" s="39">
        <f>SUM(SUMIFS(IslandModel[Resource 1 Qty],IslandModel[Resource 1],ResourceAvailable[[#This Row],[Resource]]))</f>
        <v>0</v>
      </c>
      <c r="DL87"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87" s="39">
        <f>ResourceAvailable[[#This Row],[Amount Produced]]-ResourceAvailable[[#This Row],[Amount Consumed]]</f>
        <v>0</v>
      </c>
      <c r="DN87" s="20">
        <f>MAX(0,ResourceAvailable[[#This Row],[Amount Available for Resident Consumption]]-SUMIFS(ConsumptionModel[Resource Demand],ConsumptionModel[Resource],ResourceAvailable[[#This Row],[Resource]]))</f>
        <v>0</v>
      </c>
    </row>
    <row r="88" spans="30:118" ht="21" x14ac:dyDescent="0.65">
      <c r="AD88" s="83">
        <f>ROW()</f>
        <v>88</v>
      </c>
      <c r="AE88" s="106"/>
      <c r="AF88" s="72"/>
      <c r="AG88" s="18"/>
      <c r="AH88" s="18"/>
      <c r="AI88" s="156">
        <f>IFERROR(IslandModel[[#This Row],[Quantity]]/IslandModel[[#This Row],[Target Quantity]],0)</f>
        <v>0</v>
      </c>
      <c r="AJ88" s="61" t="str">
        <f>IFERROR(INDEX(Production[Resource Produced],MATCH(IslandModel[[#This Row],[Building]],Production[Building],0)),"")</f>
        <v/>
      </c>
      <c r="AK88" s="99">
        <f>IFERROR(IslandModel[[#This Row],[Quantity]]*INDEX(Production[Production in 1h],MATCH(IslandModel[[#This Row],[Building]],Production[Building],0))*IslandModel[[#This Row],[Input Consumption Multiplier]],0)</f>
        <v>0</v>
      </c>
      <c r="AL88" s="115">
        <f>100%</f>
        <v>1</v>
      </c>
      <c r="AM88"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88" s="77" t="str">
        <f>IFERROR(INDEX(Production[Input 1],MATCH(IslandModel[[#This Row],[Building]],Production[Building],0)),"")</f>
        <v/>
      </c>
      <c r="AO88" s="78"/>
      <c r="AP88"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88"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88"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88" s="35" t="str">
        <f>IFERROR(INDEX(Production[Input 2],MATCH(IslandModel[[#This Row],[Building]],Production[Building],0)),"")</f>
        <v/>
      </c>
      <c r="AT88" s="78"/>
      <c r="AU88"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88"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88"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88" s="35" t="str">
        <f>IFERROR(INDEX(Production[Input 3],MATCH(IslandModel[[#This Row],[Building]],Production[Building],0)),"")</f>
        <v/>
      </c>
      <c r="AY88" s="78"/>
      <c r="AZ88"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88"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88"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88" s="35" t="str">
        <f>IFERROR(INDEX(Production[Input 4],MATCH(IslandModel[[#This Row],[Building]],Production[Building],0)),"")</f>
        <v/>
      </c>
      <c r="BD88" s="78"/>
      <c r="BE88"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88"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88"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88" s="35" t="str">
        <f>IFERROR(INDEX(Production[Input 5],MATCH(IslandModel[[#This Row],[Building]],Production[Building],0)),"")</f>
        <v/>
      </c>
      <c r="BI88" s="78"/>
      <c r="BJ88"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88"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88"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88" s="35" t="str">
        <f>IFERROR(INDEX(Production[Input 6],MATCH(IslandModel[[#This Row],[Building]],Production[Building],0)),"")</f>
        <v/>
      </c>
      <c r="BN88" s="78"/>
      <c r="BO88"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88"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88"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88" s="35" t="str">
        <f>IFERROR(INDEX(Production[Input 7],MATCH(IslandModel[[#This Row],[Building]],Production[Building],0)),"")</f>
        <v/>
      </c>
      <c r="BS88" s="78"/>
      <c r="BT88"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88"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88"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88" s="35" t="str">
        <f>IFERROR(INDEX(Production[Input 8],MATCH(IslandModel[[#This Row],[Building]],Production[Building],0)),"")</f>
        <v/>
      </c>
      <c r="BX88" s="78"/>
      <c r="BY88"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88"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88"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88" s="35" t="str">
        <f>IFERROR(INDEX(Production[Input 9],MATCH(IslandModel[[#This Row],[Building]],Production[Building],0)),"")</f>
        <v/>
      </c>
      <c r="CC88" s="78"/>
      <c r="CD88"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88"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88"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88" s="35" t="str">
        <f>IFERROR(INDEX(Production[Input 10],MATCH(IslandModel[[#This Row],[Building]],Production[Building],0)),"")</f>
        <v/>
      </c>
      <c r="CH88" s="78"/>
      <c r="CI88"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88"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88"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88"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88" s="82" t="str">
        <f>IslandModel[[#This Row],[Resource Produced]]</f>
        <v/>
      </c>
      <c r="CN88" s="42">
        <f>IslandModel[[#This Row],[Amount produced/h]]</f>
        <v>0</v>
      </c>
      <c r="CO88" s="42" t="str">
        <f>IslandModel[[#This Row],[Input 1]]</f>
        <v/>
      </c>
      <c r="CP88" s="42">
        <f>-IslandModel[[#This Row],[Input 1 Consumed]]</f>
        <v>0</v>
      </c>
      <c r="CQ88" s="42" t="str">
        <f>IslandModel[[#This Row],[Input 2]]</f>
        <v/>
      </c>
      <c r="CR88" s="42">
        <f>-IslandModel[[#This Row],[Input 2 Consumed]]</f>
        <v>0</v>
      </c>
      <c r="CS88" s="42" t="str">
        <f>IslandModel[[#This Row],[Input 3]]</f>
        <v/>
      </c>
      <c r="CT88" s="42">
        <f>-IslandModel[[#This Row],[Input 3 Consumed]]</f>
        <v>0</v>
      </c>
      <c r="CU88" s="42" t="str">
        <f>IslandModel[[#This Row],[Input 4]]</f>
        <v/>
      </c>
      <c r="CV88" s="42">
        <f>-IslandModel[[#This Row],[Input 4 Consumed]]</f>
        <v>0</v>
      </c>
      <c r="CW88" s="42" t="str">
        <f>IslandModel[[#This Row],[Input 5]]</f>
        <v/>
      </c>
      <c r="CX88" s="42">
        <f>-IslandModel[[#This Row],[Input 5 Consumed]]</f>
        <v>0</v>
      </c>
      <c r="CY88" s="42" t="str">
        <f>IslandModel[[#This Row],[Input 6]]</f>
        <v/>
      </c>
      <c r="CZ88" s="42">
        <f>-IslandModel[[#This Row],[Input 6 Consumed]]</f>
        <v>0</v>
      </c>
      <c r="DA88" s="42" t="str">
        <f>IslandModel[[#This Row],[Input 7]]</f>
        <v/>
      </c>
      <c r="DB88" s="42">
        <f>-IslandModel[[#This Row],[Input 7 Consumed]]</f>
        <v>0</v>
      </c>
      <c r="DC88" s="42" t="str">
        <f>IslandModel[[#This Row],[Input 8]]</f>
        <v/>
      </c>
      <c r="DD88" s="42">
        <f>-IslandModel[[#This Row],[Input 8 Consumed]]</f>
        <v>0</v>
      </c>
      <c r="DE88" s="42" t="str">
        <f>IslandModel[[#This Row],[Input 9]]</f>
        <v/>
      </c>
      <c r="DF88" s="42">
        <f>-IslandModel[[#This Row],[Input 9 Consumed]]</f>
        <v>0</v>
      </c>
      <c r="DG88" s="42" t="str">
        <f>IslandModel[[#This Row],[Input 10]]</f>
        <v/>
      </c>
      <c r="DH88" s="42">
        <f>-IslandModel[[#This Row],[Input 10 Consumed]]</f>
        <v>0</v>
      </c>
      <c r="DJ88" s="69" t="s">
        <v>15</v>
      </c>
      <c r="DK88" s="39">
        <f>SUM(SUMIFS(IslandModel[Resource 1 Qty],IslandModel[Resource 1],ResourceAvailable[[#This Row],[Resource]]))</f>
        <v>0</v>
      </c>
      <c r="DL88"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88" s="39">
        <f>ResourceAvailable[[#This Row],[Amount Produced]]-ResourceAvailable[[#This Row],[Amount Consumed]]</f>
        <v>0</v>
      </c>
      <c r="DN88" s="20">
        <f>MAX(0,ResourceAvailable[[#This Row],[Amount Available for Resident Consumption]]-SUMIFS(ConsumptionModel[Resource Demand],ConsumptionModel[Resource],ResourceAvailable[[#This Row],[Resource]]))</f>
        <v>0</v>
      </c>
    </row>
    <row r="89" spans="30:118" ht="21" x14ac:dyDescent="0.65">
      <c r="AD89" s="83">
        <f>ROW()</f>
        <v>89</v>
      </c>
      <c r="AE89" s="106"/>
      <c r="AF89" s="72"/>
      <c r="AG89" s="18"/>
      <c r="AH89" s="18"/>
      <c r="AI89" s="156">
        <f>IFERROR(IslandModel[[#This Row],[Quantity]]/IslandModel[[#This Row],[Target Quantity]],0)</f>
        <v>0</v>
      </c>
      <c r="AJ89" s="61" t="str">
        <f>IFERROR(INDEX(Production[Resource Produced],MATCH(IslandModel[[#This Row],[Building]],Production[Building],0)),"")</f>
        <v/>
      </c>
      <c r="AK89" s="99">
        <f>IFERROR(IslandModel[[#This Row],[Quantity]]*INDEX(Production[Production in 1h],MATCH(IslandModel[[#This Row],[Building]],Production[Building],0))*IslandModel[[#This Row],[Input Consumption Multiplier]],0)</f>
        <v>0</v>
      </c>
      <c r="AL89" s="115">
        <f>100%</f>
        <v>1</v>
      </c>
      <c r="AM89"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89" s="77" t="str">
        <f>IFERROR(INDEX(Production[Input 1],MATCH(IslandModel[[#This Row],[Building]],Production[Building],0)),"")</f>
        <v/>
      </c>
      <c r="AO89" s="78"/>
      <c r="AP89"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89"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89"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89" s="35" t="str">
        <f>IFERROR(INDEX(Production[Input 2],MATCH(IslandModel[[#This Row],[Building]],Production[Building],0)),"")</f>
        <v/>
      </c>
      <c r="AT89" s="78"/>
      <c r="AU89"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89"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89"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89" s="35" t="str">
        <f>IFERROR(INDEX(Production[Input 3],MATCH(IslandModel[[#This Row],[Building]],Production[Building],0)),"")</f>
        <v/>
      </c>
      <c r="AY89" s="78"/>
      <c r="AZ89"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89"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89"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89" s="35" t="str">
        <f>IFERROR(INDEX(Production[Input 4],MATCH(IslandModel[[#This Row],[Building]],Production[Building],0)),"")</f>
        <v/>
      </c>
      <c r="BD89" s="78"/>
      <c r="BE89"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89"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89"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89" s="35" t="str">
        <f>IFERROR(INDEX(Production[Input 5],MATCH(IslandModel[[#This Row],[Building]],Production[Building],0)),"")</f>
        <v/>
      </c>
      <c r="BI89" s="78"/>
      <c r="BJ89"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89"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89"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89" s="35" t="str">
        <f>IFERROR(INDEX(Production[Input 6],MATCH(IslandModel[[#This Row],[Building]],Production[Building],0)),"")</f>
        <v/>
      </c>
      <c r="BN89" s="78"/>
      <c r="BO89"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89"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89"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89" s="35" t="str">
        <f>IFERROR(INDEX(Production[Input 7],MATCH(IslandModel[[#This Row],[Building]],Production[Building],0)),"")</f>
        <v/>
      </c>
      <c r="BS89" s="78"/>
      <c r="BT89"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89"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89"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89" s="35" t="str">
        <f>IFERROR(INDEX(Production[Input 8],MATCH(IslandModel[[#This Row],[Building]],Production[Building],0)),"")</f>
        <v/>
      </c>
      <c r="BX89" s="78"/>
      <c r="BY89"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89"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89"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89" s="35" t="str">
        <f>IFERROR(INDEX(Production[Input 9],MATCH(IslandModel[[#This Row],[Building]],Production[Building],0)),"")</f>
        <v/>
      </c>
      <c r="CC89" s="78"/>
      <c r="CD89"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89"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89"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89" s="35" t="str">
        <f>IFERROR(INDEX(Production[Input 10],MATCH(IslandModel[[#This Row],[Building]],Production[Building],0)),"")</f>
        <v/>
      </c>
      <c r="CH89" s="78"/>
      <c r="CI89"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89"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89"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89"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89" s="82" t="str">
        <f>IslandModel[[#This Row],[Resource Produced]]</f>
        <v/>
      </c>
      <c r="CN89" s="42">
        <f>IslandModel[[#This Row],[Amount produced/h]]</f>
        <v>0</v>
      </c>
      <c r="CO89" s="42" t="str">
        <f>IslandModel[[#This Row],[Input 1]]</f>
        <v/>
      </c>
      <c r="CP89" s="42">
        <f>-IslandModel[[#This Row],[Input 1 Consumed]]</f>
        <v>0</v>
      </c>
      <c r="CQ89" s="42" t="str">
        <f>IslandModel[[#This Row],[Input 2]]</f>
        <v/>
      </c>
      <c r="CR89" s="42">
        <f>-IslandModel[[#This Row],[Input 2 Consumed]]</f>
        <v>0</v>
      </c>
      <c r="CS89" s="42" t="str">
        <f>IslandModel[[#This Row],[Input 3]]</f>
        <v/>
      </c>
      <c r="CT89" s="42">
        <f>-IslandModel[[#This Row],[Input 3 Consumed]]</f>
        <v>0</v>
      </c>
      <c r="CU89" s="42" t="str">
        <f>IslandModel[[#This Row],[Input 4]]</f>
        <v/>
      </c>
      <c r="CV89" s="42">
        <f>-IslandModel[[#This Row],[Input 4 Consumed]]</f>
        <v>0</v>
      </c>
      <c r="CW89" s="42" t="str">
        <f>IslandModel[[#This Row],[Input 5]]</f>
        <v/>
      </c>
      <c r="CX89" s="42">
        <f>-IslandModel[[#This Row],[Input 5 Consumed]]</f>
        <v>0</v>
      </c>
      <c r="CY89" s="42" t="str">
        <f>IslandModel[[#This Row],[Input 6]]</f>
        <v/>
      </c>
      <c r="CZ89" s="42">
        <f>-IslandModel[[#This Row],[Input 6 Consumed]]</f>
        <v>0</v>
      </c>
      <c r="DA89" s="42" t="str">
        <f>IslandModel[[#This Row],[Input 7]]</f>
        <v/>
      </c>
      <c r="DB89" s="42">
        <f>-IslandModel[[#This Row],[Input 7 Consumed]]</f>
        <v>0</v>
      </c>
      <c r="DC89" s="42" t="str">
        <f>IslandModel[[#This Row],[Input 8]]</f>
        <v/>
      </c>
      <c r="DD89" s="42">
        <f>-IslandModel[[#This Row],[Input 8 Consumed]]</f>
        <v>0</v>
      </c>
      <c r="DE89" s="42" t="str">
        <f>IslandModel[[#This Row],[Input 9]]</f>
        <v/>
      </c>
      <c r="DF89" s="42">
        <f>-IslandModel[[#This Row],[Input 9 Consumed]]</f>
        <v>0</v>
      </c>
      <c r="DG89" s="42" t="str">
        <f>IslandModel[[#This Row],[Input 10]]</f>
        <v/>
      </c>
      <c r="DH89" s="42">
        <f>-IslandModel[[#This Row],[Input 10 Consumed]]</f>
        <v>0</v>
      </c>
      <c r="DJ89" s="69" t="s">
        <v>143</v>
      </c>
      <c r="DK89" s="39">
        <f>SUM(SUMIFS(IslandModel[Resource 1 Qty],IslandModel[Resource 1],ResourceAvailable[[#This Row],[Resource]]))</f>
        <v>0</v>
      </c>
      <c r="DL89"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89" s="39">
        <f>ResourceAvailable[[#This Row],[Amount Produced]]-ResourceAvailable[[#This Row],[Amount Consumed]]</f>
        <v>0</v>
      </c>
      <c r="DN89" s="20">
        <f>MAX(0,ResourceAvailable[[#This Row],[Amount Available for Resident Consumption]]-SUMIFS(ConsumptionModel[Resource Demand],ConsumptionModel[Resource],ResourceAvailable[[#This Row],[Resource]]))</f>
        <v>0</v>
      </c>
    </row>
    <row r="90" spans="30:118" ht="21" x14ac:dyDescent="0.65">
      <c r="AD90" s="83">
        <f>ROW()</f>
        <v>90</v>
      </c>
      <c r="AE90" s="106"/>
      <c r="AF90" s="72"/>
      <c r="AG90" s="18"/>
      <c r="AH90" s="18"/>
      <c r="AI90" s="156">
        <f>IFERROR(IslandModel[[#This Row],[Quantity]]/IslandModel[[#This Row],[Target Quantity]],0)</f>
        <v>0</v>
      </c>
      <c r="AJ90" s="61" t="str">
        <f>IFERROR(INDEX(Production[Resource Produced],MATCH(IslandModel[[#This Row],[Building]],Production[Building],0)),"")</f>
        <v/>
      </c>
      <c r="AK90" s="99">
        <f>IFERROR(IslandModel[[#This Row],[Quantity]]*INDEX(Production[Production in 1h],MATCH(IslandModel[[#This Row],[Building]],Production[Building],0))*IslandModel[[#This Row],[Input Consumption Multiplier]],0)</f>
        <v>0</v>
      </c>
      <c r="AL90" s="115">
        <f>100%</f>
        <v>1</v>
      </c>
      <c r="AM90"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90" s="77" t="str">
        <f>IFERROR(INDEX(Production[Input 1],MATCH(IslandModel[[#This Row],[Building]],Production[Building],0)),"")</f>
        <v/>
      </c>
      <c r="AO90" s="78"/>
      <c r="AP90"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90"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90"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90" s="35" t="str">
        <f>IFERROR(INDEX(Production[Input 2],MATCH(IslandModel[[#This Row],[Building]],Production[Building],0)),"")</f>
        <v/>
      </c>
      <c r="AT90" s="78"/>
      <c r="AU90"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90"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90"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90" s="35" t="str">
        <f>IFERROR(INDEX(Production[Input 3],MATCH(IslandModel[[#This Row],[Building]],Production[Building],0)),"")</f>
        <v/>
      </c>
      <c r="AY90" s="78"/>
      <c r="AZ90"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90"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90"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90" s="35" t="str">
        <f>IFERROR(INDEX(Production[Input 4],MATCH(IslandModel[[#This Row],[Building]],Production[Building],0)),"")</f>
        <v/>
      </c>
      <c r="BD90" s="78"/>
      <c r="BE90"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90"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90"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90" s="35" t="str">
        <f>IFERROR(INDEX(Production[Input 5],MATCH(IslandModel[[#This Row],[Building]],Production[Building],0)),"")</f>
        <v/>
      </c>
      <c r="BI90" s="78"/>
      <c r="BJ90"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90"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90"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90" s="35" t="str">
        <f>IFERROR(INDEX(Production[Input 6],MATCH(IslandModel[[#This Row],[Building]],Production[Building],0)),"")</f>
        <v/>
      </c>
      <c r="BN90" s="78"/>
      <c r="BO90"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90"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90"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90" s="35" t="str">
        <f>IFERROR(INDEX(Production[Input 7],MATCH(IslandModel[[#This Row],[Building]],Production[Building],0)),"")</f>
        <v/>
      </c>
      <c r="BS90" s="78"/>
      <c r="BT90"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90"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90"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90" s="35" t="str">
        <f>IFERROR(INDEX(Production[Input 8],MATCH(IslandModel[[#This Row],[Building]],Production[Building],0)),"")</f>
        <v/>
      </c>
      <c r="BX90" s="78"/>
      <c r="BY90"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90"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90"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90" s="35" t="str">
        <f>IFERROR(INDEX(Production[Input 9],MATCH(IslandModel[[#This Row],[Building]],Production[Building],0)),"")</f>
        <v/>
      </c>
      <c r="CC90" s="78"/>
      <c r="CD90"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90"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90"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90" s="35" t="str">
        <f>IFERROR(INDEX(Production[Input 10],MATCH(IslandModel[[#This Row],[Building]],Production[Building],0)),"")</f>
        <v/>
      </c>
      <c r="CH90" s="78"/>
      <c r="CI90"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90"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90"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90"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90" s="82" t="str">
        <f>IslandModel[[#This Row],[Resource Produced]]</f>
        <v/>
      </c>
      <c r="CN90" s="42">
        <f>IslandModel[[#This Row],[Amount produced/h]]</f>
        <v>0</v>
      </c>
      <c r="CO90" s="42" t="str">
        <f>IslandModel[[#This Row],[Input 1]]</f>
        <v/>
      </c>
      <c r="CP90" s="42">
        <f>-IslandModel[[#This Row],[Input 1 Consumed]]</f>
        <v>0</v>
      </c>
      <c r="CQ90" s="42" t="str">
        <f>IslandModel[[#This Row],[Input 2]]</f>
        <v/>
      </c>
      <c r="CR90" s="42">
        <f>-IslandModel[[#This Row],[Input 2 Consumed]]</f>
        <v>0</v>
      </c>
      <c r="CS90" s="42" t="str">
        <f>IslandModel[[#This Row],[Input 3]]</f>
        <v/>
      </c>
      <c r="CT90" s="42">
        <f>-IslandModel[[#This Row],[Input 3 Consumed]]</f>
        <v>0</v>
      </c>
      <c r="CU90" s="42" t="str">
        <f>IslandModel[[#This Row],[Input 4]]</f>
        <v/>
      </c>
      <c r="CV90" s="42">
        <f>-IslandModel[[#This Row],[Input 4 Consumed]]</f>
        <v>0</v>
      </c>
      <c r="CW90" s="42" t="str">
        <f>IslandModel[[#This Row],[Input 5]]</f>
        <v/>
      </c>
      <c r="CX90" s="42">
        <f>-IslandModel[[#This Row],[Input 5 Consumed]]</f>
        <v>0</v>
      </c>
      <c r="CY90" s="42" t="str">
        <f>IslandModel[[#This Row],[Input 6]]</f>
        <v/>
      </c>
      <c r="CZ90" s="42">
        <f>-IslandModel[[#This Row],[Input 6 Consumed]]</f>
        <v>0</v>
      </c>
      <c r="DA90" s="42" t="str">
        <f>IslandModel[[#This Row],[Input 7]]</f>
        <v/>
      </c>
      <c r="DB90" s="42">
        <f>-IslandModel[[#This Row],[Input 7 Consumed]]</f>
        <v>0</v>
      </c>
      <c r="DC90" s="42" t="str">
        <f>IslandModel[[#This Row],[Input 8]]</f>
        <v/>
      </c>
      <c r="DD90" s="42">
        <f>-IslandModel[[#This Row],[Input 8 Consumed]]</f>
        <v>0</v>
      </c>
      <c r="DE90" s="42" t="str">
        <f>IslandModel[[#This Row],[Input 9]]</f>
        <v/>
      </c>
      <c r="DF90" s="42">
        <f>-IslandModel[[#This Row],[Input 9 Consumed]]</f>
        <v>0</v>
      </c>
      <c r="DG90" s="42" t="str">
        <f>IslandModel[[#This Row],[Input 10]]</f>
        <v/>
      </c>
      <c r="DH90" s="42">
        <f>-IslandModel[[#This Row],[Input 10 Consumed]]</f>
        <v>0</v>
      </c>
      <c r="DJ90" s="69" t="s">
        <v>180</v>
      </c>
      <c r="DK90" s="39">
        <f>SUM(SUMIFS(IslandModel[Resource 1 Qty],IslandModel[Resource 1],ResourceAvailable[[#This Row],[Resource]]))</f>
        <v>0</v>
      </c>
      <c r="DL90"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90" s="39">
        <f>ResourceAvailable[[#This Row],[Amount Produced]]-ResourceAvailable[[#This Row],[Amount Consumed]]</f>
        <v>0</v>
      </c>
      <c r="DN90" s="58">
        <f>MAX(0,ResourceAvailable[[#This Row],[Amount Available for Resident Consumption]]-SUMIFS(ConsumptionModel[Resource Demand],ConsumptionModel[Resource],ResourceAvailable[[#This Row],[Resource]]))</f>
        <v>0</v>
      </c>
    </row>
    <row r="91" spans="30:118" ht="21" x14ac:dyDescent="0.65">
      <c r="AD91" s="83">
        <f>ROW()</f>
        <v>91</v>
      </c>
      <c r="AE91" s="106"/>
      <c r="AF91" s="72"/>
      <c r="AG91" s="18"/>
      <c r="AH91" s="18"/>
      <c r="AI91" s="156">
        <f>IFERROR(IslandModel[[#This Row],[Quantity]]/IslandModel[[#This Row],[Target Quantity]],0)</f>
        <v>0</v>
      </c>
      <c r="AJ91" s="61" t="str">
        <f>IFERROR(INDEX(Production[Resource Produced],MATCH(IslandModel[[#This Row],[Building]],Production[Building],0)),"")</f>
        <v/>
      </c>
      <c r="AK91" s="99">
        <f>IFERROR(IslandModel[[#This Row],[Quantity]]*INDEX(Production[Production in 1h],MATCH(IslandModel[[#This Row],[Building]],Production[Building],0))*IslandModel[[#This Row],[Input Consumption Multiplier]],0)</f>
        <v>0</v>
      </c>
      <c r="AL91" s="115">
        <f>100%</f>
        <v>1</v>
      </c>
      <c r="AM91"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91" s="77" t="str">
        <f>IFERROR(INDEX(Production[Input 1],MATCH(IslandModel[[#This Row],[Building]],Production[Building],0)),"")</f>
        <v/>
      </c>
      <c r="AO91" s="78"/>
      <c r="AP91"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91"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91"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91" s="35" t="str">
        <f>IFERROR(INDEX(Production[Input 2],MATCH(IslandModel[[#This Row],[Building]],Production[Building],0)),"")</f>
        <v/>
      </c>
      <c r="AT91" s="78"/>
      <c r="AU91"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91"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91"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91" s="35" t="str">
        <f>IFERROR(INDEX(Production[Input 3],MATCH(IslandModel[[#This Row],[Building]],Production[Building],0)),"")</f>
        <v/>
      </c>
      <c r="AY91" s="78"/>
      <c r="AZ91"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91"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91"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91" s="35" t="str">
        <f>IFERROR(INDEX(Production[Input 4],MATCH(IslandModel[[#This Row],[Building]],Production[Building],0)),"")</f>
        <v/>
      </c>
      <c r="BD91" s="78"/>
      <c r="BE91"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91"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91"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91" s="35" t="str">
        <f>IFERROR(INDEX(Production[Input 5],MATCH(IslandModel[[#This Row],[Building]],Production[Building],0)),"")</f>
        <v/>
      </c>
      <c r="BI91" s="78"/>
      <c r="BJ91"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91"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91"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91" s="35" t="str">
        <f>IFERROR(INDEX(Production[Input 6],MATCH(IslandModel[[#This Row],[Building]],Production[Building],0)),"")</f>
        <v/>
      </c>
      <c r="BN91" s="78"/>
      <c r="BO91"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91"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91"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91" s="35" t="str">
        <f>IFERROR(INDEX(Production[Input 7],MATCH(IslandModel[[#This Row],[Building]],Production[Building],0)),"")</f>
        <v/>
      </c>
      <c r="BS91" s="78"/>
      <c r="BT91"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91"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91"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91" s="35" t="str">
        <f>IFERROR(INDEX(Production[Input 8],MATCH(IslandModel[[#This Row],[Building]],Production[Building],0)),"")</f>
        <v/>
      </c>
      <c r="BX91" s="78"/>
      <c r="BY91"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91"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91"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91" s="35" t="str">
        <f>IFERROR(INDEX(Production[Input 9],MATCH(IslandModel[[#This Row],[Building]],Production[Building],0)),"")</f>
        <v/>
      </c>
      <c r="CC91" s="78"/>
      <c r="CD91"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91"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91"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91" s="35" t="str">
        <f>IFERROR(INDEX(Production[Input 10],MATCH(IslandModel[[#This Row],[Building]],Production[Building],0)),"")</f>
        <v/>
      </c>
      <c r="CH91" s="78"/>
      <c r="CI91"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91"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91"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91"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91" s="82" t="str">
        <f>IslandModel[[#This Row],[Resource Produced]]</f>
        <v/>
      </c>
      <c r="CN91" s="42">
        <f>IslandModel[[#This Row],[Amount produced/h]]</f>
        <v>0</v>
      </c>
      <c r="CO91" s="42" t="str">
        <f>IslandModel[[#This Row],[Input 1]]</f>
        <v/>
      </c>
      <c r="CP91" s="42">
        <f>-IslandModel[[#This Row],[Input 1 Consumed]]</f>
        <v>0</v>
      </c>
      <c r="CQ91" s="42" t="str">
        <f>IslandModel[[#This Row],[Input 2]]</f>
        <v/>
      </c>
      <c r="CR91" s="42">
        <f>-IslandModel[[#This Row],[Input 2 Consumed]]</f>
        <v>0</v>
      </c>
      <c r="CS91" s="42" t="str">
        <f>IslandModel[[#This Row],[Input 3]]</f>
        <v/>
      </c>
      <c r="CT91" s="42">
        <f>-IslandModel[[#This Row],[Input 3 Consumed]]</f>
        <v>0</v>
      </c>
      <c r="CU91" s="42" t="str">
        <f>IslandModel[[#This Row],[Input 4]]</f>
        <v/>
      </c>
      <c r="CV91" s="42">
        <f>-IslandModel[[#This Row],[Input 4 Consumed]]</f>
        <v>0</v>
      </c>
      <c r="CW91" s="42" t="str">
        <f>IslandModel[[#This Row],[Input 5]]</f>
        <v/>
      </c>
      <c r="CX91" s="42">
        <f>-IslandModel[[#This Row],[Input 5 Consumed]]</f>
        <v>0</v>
      </c>
      <c r="CY91" s="42" t="str">
        <f>IslandModel[[#This Row],[Input 6]]</f>
        <v/>
      </c>
      <c r="CZ91" s="42">
        <f>-IslandModel[[#This Row],[Input 6 Consumed]]</f>
        <v>0</v>
      </c>
      <c r="DA91" s="42" t="str">
        <f>IslandModel[[#This Row],[Input 7]]</f>
        <v/>
      </c>
      <c r="DB91" s="42">
        <f>-IslandModel[[#This Row],[Input 7 Consumed]]</f>
        <v>0</v>
      </c>
      <c r="DC91" s="42" t="str">
        <f>IslandModel[[#This Row],[Input 8]]</f>
        <v/>
      </c>
      <c r="DD91" s="42">
        <f>-IslandModel[[#This Row],[Input 8 Consumed]]</f>
        <v>0</v>
      </c>
      <c r="DE91" s="42" t="str">
        <f>IslandModel[[#This Row],[Input 9]]</f>
        <v/>
      </c>
      <c r="DF91" s="42">
        <f>-IslandModel[[#This Row],[Input 9 Consumed]]</f>
        <v>0</v>
      </c>
      <c r="DG91" s="42" t="str">
        <f>IslandModel[[#This Row],[Input 10]]</f>
        <v/>
      </c>
      <c r="DH91" s="42">
        <f>-IslandModel[[#This Row],[Input 10 Consumed]]</f>
        <v>0</v>
      </c>
      <c r="DJ91" s="69" t="s">
        <v>167</v>
      </c>
      <c r="DK91" s="39">
        <f>SUM(SUMIFS(IslandModel[Resource 1 Qty],IslandModel[Resource 1],ResourceAvailable[[#This Row],[Resource]]))</f>
        <v>0</v>
      </c>
      <c r="DL91"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91" s="39">
        <f>ResourceAvailable[[#This Row],[Amount Produced]]-ResourceAvailable[[#This Row],[Amount Consumed]]</f>
        <v>0</v>
      </c>
      <c r="DN91" s="20">
        <f>MAX(0,ResourceAvailable[[#This Row],[Amount Available for Resident Consumption]]-SUMIFS(ConsumptionModel[Resource Demand],ConsumptionModel[Resource],ResourceAvailable[[#This Row],[Resource]]))</f>
        <v>0</v>
      </c>
    </row>
    <row r="92" spans="30:118" ht="21" x14ac:dyDescent="0.65">
      <c r="AD92" s="83">
        <f>ROW()</f>
        <v>92</v>
      </c>
      <c r="AE92" s="106"/>
      <c r="AF92" s="72"/>
      <c r="AG92" s="18"/>
      <c r="AH92" s="18"/>
      <c r="AI92" s="156">
        <f>IFERROR(IslandModel[[#This Row],[Quantity]]/IslandModel[[#This Row],[Target Quantity]],0)</f>
        <v>0</v>
      </c>
      <c r="AJ92" s="61" t="str">
        <f>IFERROR(INDEX(Production[Resource Produced],MATCH(IslandModel[[#This Row],[Building]],Production[Building],0)),"")</f>
        <v/>
      </c>
      <c r="AK92" s="99">
        <f>IFERROR(IslandModel[[#This Row],[Quantity]]*INDEX(Production[Production in 1h],MATCH(IslandModel[[#This Row],[Building]],Production[Building],0))*IslandModel[[#This Row],[Input Consumption Multiplier]],0)</f>
        <v>0</v>
      </c>
      <c r="AL92" s="115">
        <f>100%</f>
        <v>1</v>
      </c>
      <c r="AM92"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92" s="77" t="str">
        <f>IFERROR(INDEX(Production[Input 1],MATCH(IslandModel[[#This Row],[Building]],Production[Building],0)),"")</f>
        <v/>
      </c>
      <c r="AO92" s="78"/>
      <c r="AP92"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92"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92"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92" s="35" t="str">
        <f>IFERROR(INDEX(Production[Input 2],MATCH(IslandModel[[#This Row],[Building]],Production[Building],0)),"")</f>
        <v/>
      </c>
      <c r="AT92" s="78"/>
      <c r="AU92"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92"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92"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92" s="35" t="str">
        <f>IFERROR(INDEX(Production[Input 3],MATCH(IslandModel[[#This Row],[Building]],Production[Building],0)),"")</f>
        <v/>
      </c>
      <c r="AY92" s="78"/>
      <c r="AZ92"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92"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92"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92" s="35" t="str">
        <f>IFERROR(INDEX(Production[Input 4],MATCH(IslandModel[[#This Row],[Building]],Production[Building],0)),"")</f>
        <v/>
      </c>
      <c r="BD92" s="78"/>
      <c r="BE92"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92"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92"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92" s="35" t="str">
        <f>IFERROR(INDEX(Production[Input 5],MATCH(IslandModel[[#This Row],[Building]],Production[Building],0)),"")</f>
        <v/>
      </c>
      <c r="BI92" s="78"/>
      <c r="BJ92"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92"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92"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92" s="35" t="str">
        <f>IFERROR(INDEX(Production[Input 6],MATCH(IslandModel[[#This Row],[Building]],Production[Building],0)),"")</f>
        <v/>
      </c>
      <c r="BN92" s="78"/>
      <c r="BO92"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92"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92"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92" s="35" t="str">
        <f>IFERROR(INDEX(Production[Input 7],MATCH(IslandModel[[#This Row],[Building]],Production[Building],0)),"")</f>
        <v/>
      </c>
      <c r="BS92" s="78"/>
      <c r="BT92"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92"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92"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92" s="35" t="str">
        <f>IFERROR(INDEX(Production[Input 8],MATCH(IslandModel[[#This Row],[Building]],Production[Building],0)),"")</f>
        <v/>
      </c>
      <c r="BX92" s="78"/>
      <c r="BY92"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92"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92"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92" s="35" t="str">
        <f>IFERROR(INDEX(Production[Input 9],MATCH(IslandModel[[#This Row],[Building]],Production[Building],0)),"")</f>
        <v/>
      </c>
      <c r="CC92" s="78"/>
      <c r="CD92"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92"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92"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92" s="35" t="str">
        <f>IFERROR(INDEX(Production[Input 10],MATCH(IslandModel[[#This Row],[Building]],Production[Building],0)),"")</f>
        <v/>
      </c>
      <c r="CH92" s="78"/>
      <c r="CI92"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92"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92"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92"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92" s="82" t="str">
        <f>IslandModel[[#This Row],[Resource Produced]]</f>
        <v/>
      </c>
      <c r="CN92" s="42">
        <f>IslandModel[[#This Row],[Amount produced/h]]</f>
        <v>0</v>
      </c>
      <c r="CO92" s="42" t="str">
        <f>IslandModel[[#This Row],[Input 1]]</f>
        <v/>
      </c>
      <c r="CP92" s="42">
        <f>-IslandModel[[#This Row],[Input 1 Consumed]]</f>
        <v>0</v>
      </c>
      <c r="CQ92" s="42" t="str">
        <f>IslandModel[[#This Row],[Input 2]]</f>
        <v/>
      </c>
      <c r="CR92" s="42">
        <f>-IslandModel[[#This Row],[Input 2 Consumed]]</f>
        <v>0</v>
      </c>
      <c r="CS92" s="42" t="str">
        <f>IslandModel[[#This Row],[Input 3]]</f>
        <v/>
      </c>
      <c r="CT92" s="42">
        <f>-IslandModel[[#This Row],[Input 3 Consumed]]</f>
        <v>0</v>
      </c>
      <c r="CU92" s="42" t="str">
        <f>IslandModel[[#This Row],[Input 4]]</f>
        <v/>
      </c>
      <c r="CV92" s="42">
        <f>-IslandModel[[#This Row],[Input 4 Consumed]]</f>
        <v>0</v>
      </c>
      <c r="CW92" s="42" t="str">
        <f>IslandModel[[#This Row],[Input 5]]</f>
        <v/>
      </c>
      <c r="CX92" s="42">
        <f>-IslandModel[[#This Row],[Input 5 Consumed]]</f>
        <v>0</v>
      </c>
      <c r="CY92" s="42" t="str">
        <f>IslandModel[[#This Row],[Input 6]]</f>
        <v/>
      </c>
      <c r="CZ92" s="42">
        <f>-IslandModel[[#This Row],[Input 6 Consumed]]</f>
        <v>0</v>
      </c>
      <c r="DA92" s="42" t="str">
        <f>IslandModel[[#This Row],[Input 7]]</f>
        <v/>
      </c>
      <c r="DB92" s="42">
        <f>-IslandModel[[#This Row],[Input 7 Consumed]]</f>
        <v>0</v>
      </c>
      <c r="DC92" s="42" t="str">
        <f>IslandModel[[#This Row],[Input 8]]</f>
        <v/>
      </c>
      <c r="DD92" s="42">
        <f>-IslandModel[[#This Row],[Input 8 Consumed]]</f>
        <v>0</v>
      </c>
      <c r="DE92" s="42" t="str">
        <f>IslandModel[[#This Row],[Input 9]]</f>
        <v/>
      </c>
      <c r="DF92" s="42">
        <f>-IslandModel[[#This Row],[Input 9 Consumed]]</f>
        <v>0</v>
      </c>
      <c r="DG92" s="42" t="str">
        <f>IslandModel[[#This Row],[Input 10]]</f>
        <v/>
      </c>
      <c r="DH92" s="42">
        <f>-IslandModel[[#This Row],[Input 10 Consumed]]</f>
        <v>0</v>
      </c>
      <c r="DJ92" s="69" t="s">
        <v>152</v>
      </c>
      <c r="DK92" s="39">
        <f>SUM(SUMIFS(IslandModel[Resource 1 Qty],IslandModel[Resource 1],ResourceAvailable[[#This Row],[Resource]]))</f>
        <v>0</v>
      </c>
      <c r="DL92"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92" s="39">
        <f>ResourceAvailable[[#This Row],[Amount Produced]]-ResourceAvailable[[#This Row],[Amount Consumed]]</f>
        <v>0</v>
      </c>
      <c r="DN92" s="20">
        <f>MAX(0,ResourceAvailable[[#This Row],[Amount Available for Resident Consumption]]-SUMIFS(ConsumptionModel[Resource Demand],ConsumptionModel[Resource],ResourceAvailable[[#This Row],[Resource]]))</f>
        <v>0</v>
      </c>
    </row>
    <row r="93" spans="30:118" ht="21" x14ac:dyDescent="0.65">
      <c r="AD93" s="83">
        <f>ROW()</f>
        <v>93</v>
      </c>
      <c r="AE93" s="106"/>
      <c r="AF93" s="72"/>
      <c r="AG93" s="18"/>
      <c r="AH93" s="18"/>
      <c r="AI93" s="156">
        <f>IFERROR(IslandModel[[#This Row],[Quantity]]/IslandModel[[#This Row],[Target Quantity]],0)</f>
        <v>0</v>
      </c>
      <c r="AJ93" s="61" t="str">
        <f>IFERROR(INDEX(Production[Resource Produced],MATCH(IslandModel[[#This Row],[Building]],Production[Building],0)),"")</f>
        <v/>
      </c>
      <c r="AK93" s="99">
        <f>IFERROR(IslandModel[[#This Row],[Quantity]]*INDEX(Production[Production in 1h],MATCH(IslandModel[[#This Row],[Building]],Production[Building],0))*IslandModel[[#This Row],[Input Consumption Multiplier]],0)</f>
        <v>0</v>
      </c>
      <c r="AL93" s="115">
        <f>100%</f>
        <v>1</v>
      </c>
      <c r="AM93"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93" s="77" t="str">
        <f>IFERROR(INDEX(Production[Input 1],MATCH(IslandModel[[#This Row],[Building]],Production[Building],0)),"")</f>
        <v/>
      </c>
      <c r="AO93" s="78"/>
      <c r="AP93"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93"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93"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93" s="35" t="str">
        <f>IFERROR(INDEX(Production[Input 2],MATCH(IslandModel[[#This Row],[Building]],Production[Building],0)),"")</f>
        <v/>
      </c>
      <c r="AT93" s="78"/>
      <c r="AU93"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93"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93"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93" s="35" t="str">
        <f>IFERROR(INDEX(Production[Input 3],MATCH(IslandModel[[#This Row],[Building]],Production[Building],0)),"")</f>
        <v/>
      </c>
      <c r="AY93" s="78"/>
      <c r="AZ93"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93"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93"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93" s="35" t="str">
        <f>IFERROR(INDEX(Production[Input 4],MATCH(IslandModel[[#This Row],[Building]],Production[Building],0)),"")</f>
        <v/>
      </c>
      <c r="BD93" s="78"/>
      <c r="BE93"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93"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93"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93" s="35" t="str">
        <f>IFERROR(INDEX(Production[Input 5],MATCH(IslandModel[[#This Row],[Building]],Production[Building],0)),"")</f>
        <v/>
      </c>
      <c r="BI93" s="78"/>
      <c r="BJ93"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93"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93"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93" s="35" t="str">
        <f>IFERROR(INDEX(Production[Input 6],MATCH(IslandModel[[#This Row],[Building]],Production[Building],0)),"")</f>
        <v/>
      </c>
      <c r="BN93" s="78"/>
      <c r="BO93"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93"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93"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93" s="35" t="str">
        <f>IFERROR(INDEX(Production[Input 7],MATCH(IslandModel[[#This Row],[Building]],Production[Building],0)),"")</f>
        <v/>
      </c>
      <c r="BS93" s="78"/>
      <c r="BT93"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93"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93"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93" s="35" t="str">
        <f>IFERROR(INDEX(Production[Input 8],MATCH(IslandModel[[#This Row],[Building]],Production[Building],0)),"")</f>
        <v/>
      </c>
      <c r="BX93" s="78"/>
      <c r="BY93"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93"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93"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93" s="35" t="str">
        <f>IFERROR(INDEX(Production[Input 9],MATCH(IslandModel[[#This Row],[Building]],Production[Building],0)),"")</f>
        <v/>
      </c>
      <c r="CC93" s="78"/>
      <c r="CD93"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93"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93"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93" s="35" t="str">
        <f>IFERROR(INDEX(Production[Input 10],MATCH(IslandModel[[#This Row],[Building]],Production[Building],0)),"")</f>
        <v/>
      </c>
      <c r="CH93" s="78"/>
      <c r="CI93"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93"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93"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93"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93" s="82" t="str">
        <f>IslandModel[[#This Row],[Resource Produced]]</f>
        <v/>
      </c>
      <c r="CN93" s="42">
        <f>IslandModel[[#This Row],[Amount produced/h]]</f>
        <v>0</v>
      </c>
      <c r="CO93" s="42" t="str">
        <f>IslandModel[[#This Row],[Input 1]]</f>
        <v/>
      </c>
      <c r="CP93" s="42">
        <f>-IslandModel[[#This Row],[Input 1 Consumed]]</f>
        <v>0</v>
      </c>
      <c r="CQ93" s="42" t="str">
        <f>IslandModel[[#This Row],[Input 2]]</f>
        <v/>
      </c>
      <c r="CR93" s="42">
        <f>-IslandModel[[#This Row],[Input 2 Consumed]]</f>
        <v>0</v>
      </c>
      <c r="CS93" s="42" t="str">
        <f>IslandModel[[#This Row],[Input 3]]</f>
        <v/>
      </c>
      <c r="CT93" s="42">
        <f>-IslandModel[[#This Row],[Input 3 Consumed]]</f>
        <v>0</v>
      </c>
      <c r="CU93" s="42" t="str">
        <f>IslandModel[[#This Row],[Input 4]]</f>
        <v/>
      </c>
      <c r="CV93" s="42">
        <f>-IslandModel[[#This Row],[Input 4 Consumed]]</f>
        <v>0</v>
      </c>
      <c r="CW93" s="42" t="str">
        <f>IslandModel[[#This Row],[Input 5]]</f>
        <v/>
      </c>
      <c r="CX93" s="42">
        <f>-IslandModel[[#This Row],[Input 5 Consumed]]</f>
        <v>0</v>
      </c>
      <c r="CY93" s="42" t="str">
        <f>IslandModel[[#This Row],[Input 6]]</f>
        <v/>
      </c>
      <c r="CZ93" s="42">
        <f>-IslandModel[[#This Row],[Input 6 Consumed]]</f>
        <v>0</v>
      </c>
      <c r="DA93" s="42" t="str">
        <f>IslandModel[[#This Row],[Input 7]]</f>
        <v/>
      </c>
      <c r="DB93" s="42">
        <f>-IslandModel[[#This Row],[Input 7 Consumed]]</f>
        <v>0</v>
      </c>
      <c r="DC93" s="42" t="str">
        <f>IslandModel[[#This Row],[Input 8]]</f>
        <v/>
      </c>
      <c r="DD93" s="42">
        <f>-IslandModel[[#This Row],[Input 8 Consumed]]</f>
        <v>0</v>
      </c>
      <c r="DE93" s="42" t="str">
        <f>IslandModel[[#This Row],[Input 9]]</f>
        <v/>
      </c>
      <c r="DF93" s="42">
        <f>-IslandModel[[#This Row],[Input 9 Consumed]]</f>
        <v>0</v>
      </c>
      <c r="DG93" s="42" t="str">
        <f>IslandModel[[#This Row],[Input 10]]</f>
        <v/>
      </c>
      <c r="DH93" s="42">
        <f>-IslandModel[[#This Row],[Input 10 Consumed]]</f>
        <v>0</v>
      </c>
      <c r="DJ93" s="69" t="s">
        <v>390</v>
      </c>
      <c r="DK93" s="39">
        <f>SUM(SUMIFS(IslandModel[Resource 1 Qty],IslandModel[Resource 1],ResourceAvailable[[#This Row],[Resource]]))</f>
        <v>0</v>
      </c>
      <c r="DL93"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93" s="39">
        <f>ResourceAvailable[[#This Row],[Amount Produced]]-ResourceAvailable[[#This Row],[Amount Consumed]]</f>
        <v>0</v>
      </c>
      <c r="DN93" s="20">
        <f>MAX(0,ResourceAvailable[[#This Row],[Amount Available for Resident Consumption]]-SUMIFS(ConsumptionModel[Resource Demand],ConsumptionModel[Resource],ResourceAvailable[[#This Row],[Resource]]))</f>
        <v>0</v>
      </c>
    </row>
    <row r="94" spans="30:118" ht="21" x14ac:dyDescent="0.65">
      <c r="AD94" s="83">
        <f>ROW()</f>
        <v>94</v>
      </c>
      <c r="AE94" s="106"/>
      <c r="AF94" s="72"/>
      <c r="AG94" s="18"/>
      <c r="AH94" s="18"/>
      <c r="AI94" s="156">
        <f>IFERROR(IslandModel[[#This Row],[Quantity]]/IslandModel[[#This Row],[Target Quantity]],0)</f>
        <v>0</v>
      </c>
      <c r="AJ94" s="61" t="str">
        <f>IFERROR(INDEX(Production[Resource Produced],MATCH(IslandModel[[#This Row],[Building]],Production[Building],0)),"")</f>
        <v/>
      </c>
      <c r="AK94" s="99">
        <f>IFERROR(IslandModel[[#This Row],[Quantity]]*INDEX(Production[Production in 1h],MATCH(IslandModel[[#This Row],[Building]],Production[Building],0))*IslandModel[[#This Row],[Input Consumption Multiplier]],0)</f>
        <v>0</v>
      </c>
      <c r="AL94" s="115">
        <f>100%</f>
        <v>1</v>
      </c>
      <c r="AM94"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94" s="77" t="str">
        <f>IFERROR(INDEX(Production[Input 1],MATCH(IslandModel[[#This Row],[Building]],Production[Building],0)),"")</f>
        <v/>
      </c>
      <c r="AO94" s="78"/>
      <c r="AP94"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94"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94"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94" s="35" t="str">
        <f>IFERROR(INDEX(Production[Input 2],MATCH(IslandModel[[#This Row],[Building]],Production[Building],0)),"")</f>
        <v/>
      </c>
      <c r="AT94" s="78"/>
      <c r="AU94"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94"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94"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94" s="35" t="str">
        <f>IFERROR(INDEX(Production[Input 3],MATCH(IslandModel[[#This Row],[Building]],Production[Building],0)),"")</f>
        <v/>
      </c>
      <c r="AY94" s="78"/>
      <c r="AZ94"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94"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94"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94" s="35" t="str">
        <f>IFERROR(INDEX(Production[Input 4],MATCH(IslandModel[[#This Row],[Building]],Production[Building],0)),"")</f>
        <v/>
      </c>
      <c r="BD94" s="78"/>
      <c r="BE94"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94"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94"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94" s="35" t="str">
        <f>IFERROR(INDEX(Production[Input 5],MATCH(IslandModel[[#This Row],[Building]],Production[Building],0)),"")</f>
        <v/>
      </c>
      <c r="BI94" s="78"/>
      <c r="BJ94"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94"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94"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94" s="35" t="str">
        <f>IFERROR(INDEX(Production[Input 6],MATCH(IslandModel[[#This Row],[Building]],Production[Building],0)),"")</f>
        <v/>
      </c>
      <c r="BN94" s="78"/>
      <c r="BO94"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94"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94"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94" s="35" t="str">
        <f>IFERROR(INDEX(Production[Input 7],MATCH(IslandModel[[#This Row],[Building]],Production[Building],0)),"")</f>
        <v/>
      </c>
      <c r="BS94" s="78"/>
      <c r="BT94"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94"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94"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94" s="35" t="str">
        <f>IFERROR(INDEX(Production[Input 8],MATCH(IslandModel[[#This Row],[Building]],Production[Building],0)),"")</f>
        <v/>
      </c>
      <c r="BX94" s="78"/>
      <c r="BY94"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94"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94"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94" s="35" t="str">
        <f>IFERROR(INDEX(Production[Input 9],MATCH(IslandModel[[#This Row],[Building]],Production[Building],0)),"")</f>
        <v/>
      </c>
      <c r="CC94" s="78"/>
      <c r="CD94"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94"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94"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94" s="35" t="str">
        <f>IFERROR(INDEX(Production[Input 10],MATCH(IslandModel[[#This Row],[Building]],Production[Building],0)),"")</f>
        <v/>
      </c>
      <c r="CH94" s="78"/>
      <c r="CI94"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94"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94"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94"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94" s="82" t="str">
        <f>IslandModel[[#This Row],[Resource Produced]]</f>
        <v/>
      </c>
      <c r="CN94" s="42">
        <f>IslandModel[[#This Row],[Amount produced/h]]</f>
        <v>0</v>
      </c>
      <c r="CO94" s="42" t="str">
        <f>IslandModel[[#This Row],[Input 1]]</f>
        <v/>
      </c>
      <c r="CP94" s="42">
        <f>-IslandModel[[#This Row],[Input 1 Consumed]]</f>
        <v>0</v>
      </c>
      <c r="CQ94" s="42" t="str">
        <f>IslandModel[[#This Row],[Input 2]]</f>
        <v/>
      </c>
      <c r="CR94" s="42">
        <f>-IslandModel[[#This Row],[Input 2 Consumed]]</f>
        <v>0</v>
      </c>
      <c r="CS94" s="42" t="str">
        <f>IslandModel[[#This Row],[Input 3]]</f>
        <v/>
      </c>
      <c r="CT94" s="42">
        <f>-IslandModel[[#This Row],[Input 3 Consumed]]</f>
        <v>0</v>
      </c>
      <c r="CU94" s="42" t="str">
        <f>IslandModel[[#This Row],[Input 4]]</f>
        <v/>
      </c>
      <c r="CV94" s="42">
        <f>-IslandModel[[#This Row],[Input 4 Consumed]]</f>
        <v>0</v>
      </c>
      <c r="CW94" s="42" t="str">
        <f>IslandModel[[#This Row],[Input 5]]</f>
        <v/>
      </c>
      <c r="CX94" s="42">
        <f>-IslandModel[[#This Row],[Input 5 Consumed]]</f>
        <v>0</v>
      </c>
      <c r="CY94" s="42" t="str">
        <f>IslandModel[[#This Row],[Input 6]]</f>
        <v/>
      </c>
      <c r="CZ94" s="42">
        <f>-IslandModel[[#This Row],[Input 6 Consumed]]</f>
        <v>0</v>
      </c>
      <c r="DA94" s="42" t="str">
        <f>IslandModel[[#This Row],[Input 7]]</f>
        <v/>
      </c>
      <c r="DB94" s="42">
        <f>-IslandModel[[#This Row],[Input 7 Consumed]]</f>
        <v>0</v>
      </c>
      <c r="DC94" s="42" t="str">
        <f>IslandModel[[#This Row],[Input 8]]</f>
        <v/>
      </c>
      <c r="DD94" s="42">
        <f>-IslandModel[[#This Row],[Input 8 Consumed]]</f>
        <v>0</v>
      </c>
      <c r="DE94" s="42" t="str">
        <f>IslandModel[[#This Row],[Input 9]]</f>
        <v/>
      </c>
      <c r="DF94" s="42">
        <f>-IslandModel[[#This Row],[Input 9 Consumed]]</f>
        <v>0</v>
      </c>
      <c r="DG94" s="42" t="str">
        <f>IslandModel[[#This Row],[Input 10]]</f>
        <v/>
      </c>
      <c r="DH94" s="42">
        <f>-IslandModel[[#This Row],[Input 10 Consumed]]</f>
        <v>0</v>
      </c>
      <c r="DJ94" s="69" t="s">
        <v>9</v>
      </c>
      <c r="DK94" s="39">
        <f>SUM(SUMIFS(IslandModel[Resource 1 Qty],IslandModel[Resource 1],ResourceAvailable[[#This Row],[Resource]]))</f>
        <v>0</v>
      </c>
      <c r="DL94"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94" s="39">
        <f>ResourceAvailable[[#This Row],[Amount Produced]]-ResourceAvailable[[#This Row],[Amount Consumed]]</f>
        <v>0</v>
      </c>
      <c r="DN94" s="58">
        <f>MAX(0,ResourceAvailable[[#This Row],[Amount Available for Resident Consumption]]-SUMIFS(ConsumptionModel[Resource Demand],ConsumptionModel[Resource],ResourceAvailable[[#This Row],[Resource]]))</f>
        <v>0</v>
      </c>
    </row>
    <row r="95" spans="30:118" ht="21" x14ac:dyDescent="0.65">
      <c r="AD95" s="83">
        <f>ROW()</f>
        <v>95</v>
      </c>
      <c r="AE95" s="106"/>
      <c r="AF95" s="72"/>
      <c r="AG95" s="18"/>
      <c r="AH95" s="18"/>
      <c r="AI95" s="156">
        <f>IFERROR(IslandModel[[#This Row],[Quantity]]/IslandModel[[#This Row],[Target Quantity]],0)</f>
        <v>0</v>
      </c>
      <c r="AJ95" s="61" t="str">
        <f>IFERROR(INDEX(Production[Resource Produced],MATCH(IslandModel[[#This Row],[Building]],Production[Building],0)),"")</f>
        <v/>
      </c>
      <c r="AK95" s="99">
        <f>IFERROR(IslandModel[[#This Row],[Quantity]]*INDEX(Production[Production in 1h],MATCH(IslandModel[[#This Row],[Building]],Production[Building],0))*IslandModel[[#This Row],[Input Consumption Multiplier]],0)</f>
        <v>0</v>
      </c>
      <c r="AL95" s="115">
        <f>100%</f>
        <v>1</v>
      </c>
      <c r="AM95"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95" s="77" t="str">
        <f>IFERROR(INDEX(Production[Input 1],MATCH(IslandModel[[#This Row],[Building]],Production[Building],0)),"")</f>
        <v/>
      </c>
      <c r="AO95" s="78"/>
      <c r="AP95"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95"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95"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95" s="35" t="str">
        <f>IFERROR(INDEX(Production[Input 2],MATCH(IslandModel[[#This Row],[Building]],Production[Building],0)),"")</f>
        <v/>
      </c>
      <c r="AT95" s="78"/>
      <c r="AU95"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95"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95"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95" s="35" t="str">
        <f>IFERROR(INDEX(Production[Input 3],MATCH(IslandModel[[#This Row],[Building]],Production[Building],0)),"")</f>
        <v/>
      </c>
      <c r="AY95" s="78"/>
      <c r="AZ95"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95"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95"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95" s="35" t="str">
        <f>IFERROR(INDEX(Production[Input 4],MATCH(IslandModel[[#This Row],[Building]],Production[Building],0)),"")</f>
        <v/>
      </c>
      <c r="BD95" s="78"/>
      <c r="BE95"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95"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95"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95" s="35" t="str">
        <f>IFERROR(INDEX(Production[Input 5],MATCH(IslandModel[[#This Row],[Building]],Production[Building],0)),"")</f>
        <v/>
      </c>
      <c r="BI95" s="78"/>
      <c r="BJ95"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95"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95"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95" s="35" t="str">
        <f>IFERROR(INDEX(Production[Input 6],MATCH(IslandModel[[#This Row],[Building]],Production[Building],0)),"")</f>
        <v/>
      </c>
      <c r="BN95" s="78"/>
      <c r="BO95"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95"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95"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95" s="35" t="str">
        <f>IFERROR(INDEX(Production[Input 7],MATCH(IslandModel[[#This Row],[Building]],Production[Building],0)),"")</f>
        <v/>
      </c>
      <c r="BS95" s="78"/>
      <c r="BT95"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95"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95"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95" s="35" t="str">
        <f>IFERROR(INDEX(Production[Input 8],MATCH(IslandModel[[#This Row],[Building]],Production[Building],0)),"")</f>
        <v/>
      </c>
      <c r="BX95" s="78"/>
      <c r="BY95"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95"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95"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95" s="35" t="str">
        <f>IFERROR(INDEX(Production[Input 9],MATCH(IslandModel[[#This Row],[Building]],Production[Building],0)),"")</f>
        <v/>
      </c>
      <c r="CC95" s="78"/>
      <c r="CD95"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95"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95"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95" s="35" t="str">
        <f>IFERROR(INDEX(Production[Input 10],MATCH(IslandModel[[#This Row],[Building]],Production[Building],0)),"")</f>
        <v/>
      </c>
      <c r="CH95" s="78"/>
      <c r="CI95"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95"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95"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95"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95" s="82" t="str">
        <f>IslandModel[[#This Row],[Resource Produced]]</f>
        <v/>
      </c>
      <c r="CN95" s="42">
        <f>IslandModel[[#This Row],[Amount produced/h]]</f>
        <v>0</v>
      </c>
      <c r="CO95" s="42" t="str">
        <f>IslandModel[[#This Row],[Input 1]]</f>
        <v/>
      </c>
      <c r="CP95" s="42">
        <f>-IslandModel[[#This Row],[Input 1 Consumed]]</f>
        <v>0</v>
      </c>
      <c r="CQ95" s="42" t="str">
        <f>IslandModel[[#This Row],[Input 2]]</f>
        <v/>
      </c>
      <c r="CR95" s="42">
        <f>-IslandModel[[#This Row],[Input 2 Consumed]]</f>
        <v>0</v>
      </c>
      <c r="CS95" s="42" t="str">
        <f>IslandModel[[#This Row],[Input 3]]</f>
        <v/>
      </c>
      <c r="CT95" s="42">
        <f>-IslandModel[[#This Row],[Input 3 Consumed]]</f>
        <v>0</v>
      </c>
      <c r="CU95" s="42" t="str">
        <f>IslandModel[[#This Row],[Input 4]]</f>
        <v/>
      </c>
      <c r="CV95" s="42">
        <f>-IslandModel[[#This Row],[Input 4 Consumed]]</f>
        <v>0</v>
      </c>
      <c r="CW95" s="42" t="str">
        <f>IslandModel[[#This Row],[Input 5]]</f>
        <v/>
      </c>
      <c r="CX95" s="42">
        <f>-IslandModel[[#This Row],[Input 5 Consumed]]</f>
        <v>0</v>
      </c>
      <c r="CY95" s="42" t="str">
        <f>IslandModel[[#This Row],[Input 6]]</f>
        <v/>
      </c>
      <c r="CZ95" s="42">
        <f>-IslandModel[[#This Row],[Input 6 Consumed]]</f>
        <v>0</v>
      </c>
      <c r="DA95" s="42" t="str">
        <f>IslandModel[[#This Row],[Input 7]]</f>
        <v/>
      </c>
      <c r="DB95" s="42">
        <f>-IslandModel[[#This Row],[Input 7 Consumed]]</f>
        <v>0</v>
      </c>
      <c r="DC95" s="42" t="str">
        <f>IslandModel[[#This Row],[Input 8]]</f>
        <v/>
      </c>
      <c r="DD95" s="42">
        <f>-IslandModel[[#This Row],[Input 8 Consumed]]</f>
        <v>0</v>
      </c>
      <c r="DE95" s="42" t="str">
        <f>IslandModel[[#This Row],[Input 9]]</f>
        <v/>
      </c>
      <c r="DF95" s="42">
        <f>-IslandModel[[#This Row],[Input 9 Consumed]]</f>
        <v>0</v>
      </c>
      <c r="DG95" s="42" t="str">
        <f>IslandModel[[#This Row],[Input 10]]</f>
        <v/>
      </c>
      <c r="DH95" s="42">
        <f>-IslandModel[[#This Row],[Input 10 Consumed]]</f>
        <v>0</v>
      </c>
      <c r="DJ95" s="69" t="s">
        <v>53</v>
      </c>
      <c r="DK95" s="39">
        <f>SUM(SUMIFS(IslandModel[Resource 1 Qty],IslandModel[Resource 1],ResourceAvailable[[#This Row],[Resource]]))</f>
        <v>320</v>
      </c>
      <c r="DL95"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95" s="39">
        <f>ResourceAvailable[[#This Row],[Amount Produced]]-ResourceAvailable[[#This Row],[Amount Consumed]]</f>
        <v>320</v>
      </c>
      <c r="DN95" s="20">
        <f>MAX(0,ResourceAvailable[[#This Row],[Amount Available for Resident Consumption]]-SUMIFS(ConsumptionModel[Resource Demand],ConsumptionModel[Resource],ResourceAvailable[[#This Row],[Resource]]))</f>
        <v>320</v>
      </c>
    </row>
    <row r="96" spans="30:118" ht="21" x14ac:dyDescent="0.65">
      <c r="AD96" s="83">
        <f>ROW()</f>
        <v>96</v>
      </c>
      <c r="AE96" s="106"/>
      <c r="AF96" s="72"/>
      <c r="AG96" s="18"/>
      <c r="AH96" s="18"/>
      <c r="AI96" s="156">
        <f>IFERROR(IslandModel[[#This Row],[Quantity]]/IslandModel[[#This Row],[Target Quantity]],0)</f>
        <v>0</v>
      </c>
      <c r="AJ96" s="61" t="str">
        <f>IFERROR(INDEX(Production[Resource Produced],MATCH(IslandModel[[#This Row],[Building]],Production[Building],0)),"")</f>
        <v/>
      </c>
      <c r="AK96" s="99">
        <f>IFERROR(IslandModel[[#This Row],[Quantity]]*INDEX(Production[Production in 1h],MATCH(IslandModel[[#This Row],[Building]],Production[Building],0))*IslandModel[[#This Row],[Input Consumption Multiplier]],0)</f>
        <v>0</v>
      </c>
      <c r="AL96" s="115">
        <f>100%</f>
        <v>1</v>
      </c>
      <c r="AM96"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96" s="77" t="str">
        <f>IFERROR(INDEX(Production[Input 1],MATCH(IslandModel[[#This Row],[Building]],Production[Building],0)),"")</f>
        <v/>
      </c>
      <c r="AO96" s="78"/>
      <c r="AP96"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96"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96"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96" s="35" t="str">
        <f>IFERROR(INDEX(Production[Input 2],MATCH(IslandModel[[#This Row],[Building]],Production[Building],0)),"")</f>
        <v/>
      </c>
      <c r="AT96" s="78"/>
      <c r="AU96"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96"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96"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96" s="35" t="str">
        <f>IFERROR(INDEX(Production[Input 3],MATCH(IslandModel[[#This Row],[Building]],Production[Building],0)),"")</f>
        <v/>
      </c>
      <c r="AY96" s="78"/>
      <c r="AZ96"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96"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96"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96" s="35" t="str">
        <f>IFERROR(INDEX(Production[Input 4],MATCH(IslandModel[[#This Row],[Building]],Production[Building],0)),"")</f>
        <v/>
      </c>
      <c r="BD96" s="78"/>
      <c r="BE96"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96"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96"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96" s="35" t="str">
        <f>IFERROR(INDEX(Production[Input 5],MATCH(IslandModel[[#This Row],[Building]],Production[Building],0)),"")</f>
        <v/>
      </c>
      <c r="BI96" s="78"/>
      <c r="BJ96"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96"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96"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96" s="35" t="str">
        <f>IFERROR(INDEX(Production[Input 6],MATCH(IslandModel[[#This Row],[Building]],Production[Building],0)),"")</f>
        <v/>
      </c>
      <c r="BN96" s="78"/>
      <c r="BO96"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96"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96"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96" s="35" t="str">
        <f>IFERROR(INDEX(Production[Input 7],MATCH(IslandModel[[#This Row],[Building]],Production[Building],0)),"")</f>
        <v/>
      </c>
      <c r="BS96" s="78"/>
      <c r="BT96"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96"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96"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96" s="35" t="str">
        <f>IFERROR(INDEX(Production[Input 8],MATCH(IslandModel[[#This Row],[Building]],Production[Building],0)),"")</f>
        <v/>
      </c>
      <c r="BX96" s="78"/>
      <c r="BY96"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96"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96"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96" s="35" t="str">
        <f>IFERROR(INDEX(Production[Input 9],MATCH(IslandModel[[#This Row],[Building]],Production[Building],0)),"")</f>
        <v/>
      </c>
      <c r="CC96" s="78"/>
      <c r="CD96"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96"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96"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96" s="35" t="str">
        <f>IFERROR(INDEX(Production[Input 10],MATCH(IslandModel[[#This Row],[Building]],Production[Building],0)),"")</f>
        <v/>
      </c>
      <c r="CH96" s="78"/>
      <c r="CI96"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96"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96"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96"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96" s="82" t="str">
        <f>IslandModel[[#This Row],[Resource Produced]]</f>
        <v/>
      </c>
      <c r="CN96" s="42">
        <f>IslandModel[[#This Row],[Amount produced/h]]</f>
        <v>0</v>
      </c>
      <c r="CO96" s="42" t="str">
        <f>IslandModel[[#This Row],[Input 1]]</f>
        <v/>
      </c>
      <c r="CP96" s="42">
        <f>-IslandModel[[#This Row],[Input 1 Consumed]]</f>
        <v>0</v>
      </c>
      <c r="CQ96" s="42" t="str">
        <f>IslandModel[[#This Row],[Input 2]]</f>
        <v/>
      </c>
      <c r="CR96" s="42">
        <f>-IslandModel[[#This Row],[Input 2 Consumed]]</f>
        <v>0</v>
      </c>
      <c r="CS96" s="42" t="str">
        <f>IslandModel[[#This Row],[Input 3]]</f>
        <v/>
      </c>
      <c r="CT96" s="42">
        <f>-IslandModel[[#This Row],[Input 3 Consumed]]</f>
        <v>0</v>
      </c>
      <c r="CU96" s="42" t="str">
        <f>IslandModel[[#This Row],[Input 4]]</f>
        <v/>
      </c>
      <c r="CV96" s="42">
        <f>-IslandModel[[#This Row],[Input 4 Consumed]]</f>
        <v>0</v>
      </c>
      <c r="CW96" s="42" t="str">
        <f>IslandModel[[#This Row],[Input 5]]</f>
        <v/>
      </c>
      <c r="CX96" s="42">
        <f>-IslandModel[[#This Row],[Input 5 Consumed]]</f>
        <v>0</v>
      </c>
      <c r="CY96" s="42" t="str">
        <f>IslandModel[[#This Row],[Input 6]]</f>
        <v/>
      </c>
      <c r="CZ96" s="42">
        <f>-IslandModel[[#This Row],[Input 6 Consumed]]</f>
        <v>0</v>
      </c>
      <c r="DA96" s="42" t="str">
        <f>IslandModel[[#This Row],[Input 7]]</f>
        <v/>
      </c>
      <c r="DB96" s="42">
        <f>-IslandModel[[#This Row],[Input 7 Consumed]]</f>
        <v>0</v>
      </c>
      <c r="DC96" s="42" t="str">
        <f>IslandModel[[#This Row],[Input 8]]</f>
        <v/>
      </c>
      <c r="DD96" s="42">
        <f>-IslandModel[[#This Row],[Input 8 Consumed]]</f>
        <v>0</v>
      </c>
      <c r="DE96" s="42" t="str">
        <f>IslandModel[[#This Row],[Input 9]]</f>
        <v/>
      </c>
      <c r="DF96" s="42">
        <f>-IslandModel[[#This Row],[Input 9 Consumed]]</f>
        <v>0</v>
      </c>
      <c r="DG96" s="42" t="str">
        <f>IslandModel[[#This Row],[Input 10]]</f>
        <v/>
      </c>
      <c r="DH96" s="42">
        <f>-IslandModel[[#This Row],[Input 10 Consumed]]</f>
        <v>0</v>
      </c>
      <c r="DJ96" s="69" t="s">
        <v>383</v>
      </c>
      <c r="DK96" s="39">
        <f>SUM(SUMIFS(IslandModel[Resource 1 Qty],IslandModel[Resource 1],ResourceAvailable[[#This Row],[Resource]]))</f>
        <v>0</v>
      </c>
      <c r="DL96"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96" s="39">
        <f>ResourceAvailable[[#This Row],[Amount Produced]]-ResourceAvailable[[#This Row],[Amount Consumed]]</f>
        <v>0</v>
      </c>
      <c r="DN96" s="20">
        <f>MAX(0,ResourceAvailable[[#This Row],[Amount Available for Resident Consumption]]-SUMIFS(ConsumptionModel[Resource Demand],ConsumptionModel[Resource],ResourceAvailable[[#This Row],[Resource]]))</f>
        <v>0</v>
      </c>
    </row>
    <row r="97" spans="30:118" ht="21" x14ac:dyDescent="0.65">
      <c r="AD97" s="83">
        <f>ROW()</f>
        <v>97</v>
      </c>
      <c r="AE97" s="106"/>
      <c r="AF97" s="72"/>
      <c r="AG97" s="18"/>
      <c r="AH97" s="18"/>
      <c r="AI97" s="156">
        <f>IFERROR(IslandModel[[#This Row],[Quantity]]/IslandModel[[#This Row],[Target Quantity]],0)</f>
        <v>0</v>
      </c>
      <c r="AJ97" s="61" t="str">
        <f>IFERROR(INDEX(Production[Resource Produced],MATCH(IslandModel[[#This Row],[Building]],Production[Building],0)),"")</f>
        <v/>
      </c>
      <c r="AK97" s="99">
        <f>IFERROR(IslandModel[[#This Row],[Quantity]]*INDEX(Production[Production in 1h],MATCH(IslandModel[[#This Row],[Building]],Production[Building],0))*IslandModel[[#This Row],[Input Consumption Multiplier]],0)</f>
        <v>0</v>
      </c>
      <c r="AL97" s="115">
        <f>100%</f>
        <v>1</v>
      </c>
      <c r="AM97"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97" s="77" t="str">
        <f>IFERROR(INDEX(Production[Input 1],MATCH(IslandModel[[#This Row],[Building]],Production[Building],0)),"")</f>
        <v/>
      </c>
      <c r="AO97" s="78"/>
      <c r="AP97"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97"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97"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97" s="35" t="str">
        <f>IFERROR(INDEX(Production[Input 2],MATCH(IslandModel[[#This Row],[Building]],Production[Building],0)),"")</f>
        <v/>
      </c>
      <c r="AT97" s="78"/>
      <c r="AU97"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97"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97"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97" s="35" t="str">
        <f>IFERROR(INDEX(Production[Input 3],MATCH(IslandModel[[#This Row],[Building]],Production[Building],0)),"")</f>
        <v/>
      </c>
      <c r="AY97" s="78"/>
      <c r="AZ97"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97"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97"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97" s="35" t="str">
        <f>IFERROR(INDEX(Production[Input 4],MATCH(IslandModel[[#This Row],[Building]],Production[Building],0)),"")</f>
        <v/>
      </c>
      <c r="BD97" s="78"/>
      <c r="BE97"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97"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97"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97" s="35" t="str">
        <f>IFERROR(INDEX(Production[Input 5],MATCH(IslandModel[[#This Row],[Building]],Production[Building],0)),"")</f>
        <v/>
      </c>
      <c r="BI97" s="78"/>
      <c r="BJ97"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97"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97"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97" s="35" t="str">
        <f>IFERROR(INDEX(Production[Input 6],MATCH(IslandModel[[#This Row],[Building]],Production[Building],0)),"")</f>
        <v/>
      </c>
      <c r="BN97" s="78"/>
      <c r="BO97"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97"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97"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97" s="35" t="str">
        <f>IFERROR(INDEX(Production[Input 7],MATCH(IslandModel[[#This Row],[Building]],Production[Building],0)),"")</f>
        <v/>
      </c>
      <c r="BS97" s="78"/>
      <c r="BT97"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97"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97"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97" s="35" t="str">
        <f>IFERROR(INDEX(Production[Input 8],MATCH(IslandModel[[#This Row],[Building]],Production[Building],0)),"")</f>
        <v/>
      </c>
      <c r="BX97" s="78"/>
      <c r="BY97"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97"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97"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97" s="35" t="str">
        <f>IFERROR(INDEX(Production[Input 9],MATCH(IslandModel[[#This Row],[Building]],Production[Building],0)),"")</f>
        <v/>
      </c>
      <c r="CC97" s="78"/>
      <c r="CD97"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97"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97"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97" s="35" t="str">
        <f>IFERROR(INDEX(Production[Input 10],MATCH(IslandModel[[#This Row],[Building]],Production[Building],0)),"")</f>
        <v/>
      </c>
      <c r="CH97" s="78"/>
      <c r="CI97"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97"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97"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97"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97" s="82" t="str">
        <f>IslandModel[[#This Row],[Resource Produced]]</f>
        <v/>
      </c>
      <c r="CN97" s="42">
        <f>IslandModel[[#This Row],[Amount produced/h]]</f>
        <v>0</v>
      </c>
      <c r="CO97" s="42" t="str">
        <f>IslandModel[[#This Row],[Input 1]]</f>
        <v/>
      </c>
      <c r="CP97" s="42">
        <f>-IslandModel[[#This Row],[Input 1 Consumed]]</f>
        <v>0</v>
      </c>
      <c r="CQ97" s="42" t="str">
        <f>IslandModel[[#This Row],[Input 2]]</f>
        <v/>
      </c>
      <c r="CR97" s="42">
        <f>-IslandModel[[#This Row],[Input 2 Consumed]]</f>
        <v>0</v>
      </c>
      <c r="CS97" s="42" t="str">
        <f>IslandModel[[#This Row],[Input 3]]</f>
        <v/>
      </c>
      <c r="CT97" s="42">
        <f>-IslandModel[[#This Row],[Input 3 Consumed]]</f>
        <v>0</v>
      </c>
      <c r="CU97" s="42" t="str">
        <f>IslandModel[[#This Row],[Input 4]]</f>
        <v/>
      </c>
      <c r="CV97" s="42">
        <f>-IslandModel[[#This Row],[Input 4 Consumed]]</f>
        <v>0</v>
      </c>
      <c r="CW97" s="42" t="str">
        <f>IslandModel[[#This Row],[Input 5]]</f>
        <v/>
      </c>
      <c r="CX97" s="42">
        <f>-IslandModel[[#This Row],[Input 5 Consumed]]</f>
        <v>0</v>
      </c>
      <c r="CY97" s="42" t="str">
        <f>IslandModel[[#This Row],[Input 6]]</f>
        <v/>
      </c>
      <c r="CZ97" s="42">
        <f>-IslandModel[[#This Row],[Input 6 Consumed]]</f>
        <v>0</v>
      </c>
      <c r="DA97" s="42" t="str">
        <f>IslandModel[[#This Row],[Input 7]]</f>
        <v/>
      </c>
      <c r="DB97" s="42">
        <f>-IslandModel[[#This Row],[Input 7 Consumed]]</f>
        <v>0</v>
      </c>
      <c r="DC97" s="42" t="str">
        <f>IslandModel[[#This Row],[Input 8]]</f>
        <v/>
      </c>
      <c r="DD97" s="42">
        <f>-IslandModel[[#This Row],[Input 8 Consumed]]</f>
        <v>0</v>
      </c>
      <c r="DE97" s="42" t="str">
        <f>IslandModel[[#This Row],[Input 9]]</f>
        <v/>
      </c>
      <c r="DF97" s="42">
        <f>-IslandModel[[#This Row],[Input 9 Consumed]]</f>
        <v>0</v>
      </c>
      <c r="DG97" s="42" t="str">
        <f>IslandModel[[#This Row],[Input 10]]</f>
        <v/>
      </c>
      <c r="DH97" s="42">
        <f>-IslandModel[[#This Row],[Input 10 Consumed]]</f>
        <v>0</v>
      </c>
      <c r="DJ97" s="69" t="s">
        <v>80</v>
      </c>
      <c r="DK97" s="39">
        <f>SUM(SUMIFS(IslandModel[Resource 1 Qty],IslandModel[Resource 1],ResourceAvailable[[#This Row],[Resource]]))</f>
        <v>0</v>
      </c>
      <c r="DL97"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97" s="39">
        <f>ResourceAvailable[[#This Row],[Amount Produced]]-ResourceAvailable[[#This Row],[Amount Consumed]]</f>
        <v>0</v>
      </c>
      <c r="DN97" s="20">
        <f>MAX(0,ResourceAvailable[[#This Row],[Amount Available for Resident Consumption]]-SUMIFS(ConsumptionModel[Resource Demand],ConsumptionModel[Resource],ResourceAvailable[[#This Row],[Resource]]))</f>
        <v>0</v>
      </c>
    </row>
    <row r="98" spans="30:118" ht="21" x14ac:dyDescent="0.65">
      <c r="AD98" s="83">
        <f>ROW()</f>
        <v>98</v>
      </c>
      <c r="AE98" s="106"/>
      <c r="AF98" s="72"/>
      <c r="AG98" s="18"/>
      <c r="AH98" s="18"/>
      <c r="AI98" s="156">
        <f>IFERROR(IslandModel[[#This Row],[Quantity]]/IslandModel[[#This Row],[Target Quantity]],0)</f>
        <v>0</v>
      </c>
      <c r="AJ98" s="61" t="str">
        <f>IFERROR(INDEX(Production[Resource Produced],MATCH(IslandModel[[#This Row],[Building]],Production[Building],0)),"")</f>
        <v/>
      </c>
      <c r="AK98" s="99">
        <f>IFERROR(IslandModel[[#This Row],[Quantity]]*INDEX(Production[Production in 1h],MATCH(IslandModel[[#This Row],[Building]],Production[Building],0))*IslandModel[[#This Row],[Input Consumption Multiplier]],0)</f>
        <v>0</v>
      </c>
      <c r="AL98" s="115">
        <f>100%</f>
        <v>1</v>
      </c>
      <c r="AM98"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98" s="77" t="str">
        <f>IFERROR(INDEX(Production[Input 1],MATCH(IslandModel[[#This Row],[Building]],Production[Building],0)),"")</f>
        <v/>
      </c>
      <c r="AO98" s="78"/>
      <c r="AP98"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98"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98"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98" s="35" t="str">
        <f>IFERROR(INDEX(Production[Input 2],MATCH(IslandModel[[#This Row],[Building]],Production[Building],0)),"")</f>
        <v/>
      </c>
      <c r="AT98" s="78"/>
      <c r="AU98"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98"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98"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98" s="35" t="str">
        <f>IFERROR(INDEX(Production[Input 3],MATCH(IslandModel[[#This Row],[Building]],Production[Building],0)),"")</f>
        <v/>
      </c>
      <c r="AY98" s="78"/>
      <c r="AZ98"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98"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98"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98" s="35" t="str">
        <f>IFERROR(INDEX(Production[Input 4],MATCH(IslandModel[[#This Row],[Building]],Production[Building],0)),"")</f>
        <v/>
      </c>
      <c r="BD98" s="78"/>
      <c r="BE98"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98"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98"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98" s="35" t="str">
        <f>IFERROR(INDEX(Production[Input 5],MATCH(IslandModel[[#This Row],[Building]],Production[Building],0)),"")</f>
        <v/>
      </c>
      <c r="BI98" s="78"/>
      <c r="BJ98"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98"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98"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98" s="35" t="str">
        <f>IFERROR(INDEX(Production[Input 6],MATCH(IslandModel[[#This Row],[Building]],Production[Building],0)),"")</f>
        <v/>
      </c>
      <c r="BN98" s="78"/>
      <c r="BO98"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98"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98"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98" s="35" t="str">
        <f>IFERROR(INDEX(Production[Input 7],MATCH(IslandModel[[#This Row],[Building]],Production[Building],0)),"")</f>
        <v/>
      </c>
      <c r="BS98" s="78"/>
      <c r="BT98"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98"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98"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98" s="35" t="str">
        <f>IFERROR(INDEX(Production[Input 8],MATCH(IslandModel[[#This Row],[Building]],Production[Building],0)),"")</f>
        <v/>
      </c>
      <c r="BX98" s="78"/>
      <c r="BY98"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98"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98"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98" s="35" t="str">
        <f>IFERROR(INDEX(Production[Input 9],MATCH(IslandModel[[#This Row],[Building]],Production[Building],0)),"")</f>
        <v/>
      </c>
      <c r="CC98" s="78"/>
      <c r="CD98"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98"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98"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98" s="35" t="str">
        <f>IFERROR(INDEX(Production[Input 10],MATCH(IslandModel[[#This Row],[Building]],Production[Building],0)),"")</f>
        <v/>
      </c>
      <c r="CH98" s="78"/>
      <c r="CI98"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98"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98"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98"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98" s="82" t="str">
        <f>IslandModel[[#This Row],[Resource Produced]]</f>
        <v/>
      </c>
      <c r="CN98" s="42">
        <f>IslandModel[[#This Row],[Amount produced/h]]</f>
        <v>0</v>
      </c>
      <c r="CO98" s="42" t="str">
        <f>IslandModel[[#This Row],[Input 1]]</f>
        <v/>
      </c>
      <c r="CP98" s="42">
        <f>-IslandModel[[#This Row],[Input 1 Consumed]]</f>
        <v>0</v>
      </c>
      <c r="CQ98" s="42" t="str">
        <f>IslandModel[[#This Row],[Input 2]]</f>
        <v/>
      </c>
      <c r="CR98" s="42">
        <f>-IslandModel[[#This Row],[Input 2 Consumed]]</f>
        <v>0</v>
      </c>
      <c r="CS98" s="42" t="str">
        <f>IslandModel[[#This Row],[Input 3]]</f>
        <v/>
      </c>
      <c r="CT98" s="42">
        <f>-IslandModel[[#This Row],[Input 3 Consumed]]</f>
        <v>0</v>
      </c>
      <c r="CU98" s="42" t="str">
        <f>IslandModel[[#This Row],[Input 4]]</f>
        <v/>
      </c>
      <c r="CV98" s="42">
        <f>-IslandModel[[#This Row],[Input 4 Consumed]]</f>
        <v>0</v>
      </c>
      <c r="CW98" s="42" t="str">
        <f>IslandModel[[#This Row],[Input 5]]</f>
        <v/>
      </c>
      <c r="CX98" s="42">
        <f>-IslandModel[[#This Row],[Input 5 Consumed]]</f>
        <v>0</v>
      </c>
      <c r="CY98" s="42" t="str">
        <f>IslandModel[[#This Row],[Input 6]]</f>
        <v/>
      </c>
      <c r="CZ98" s="42">
        <f>-IslandModel[[#This Row],[Input 6 Consumed]]</f>
        <v>0</v>
      </c>
      <c r="DA98" s="42" t="str">
        <f>IslandModel[[#This Row],[Input 7]]</f>
        <v/>
      </c>
      <c r="DB98" s="42">
        <f>-IslandModel[[#This Row],[Input 7 Consumed]]</f>
        <v>0</v>
      </c>
      <c r="DC98" s="42" t="str">
        <f>IslandModel[[#This Row],[Input 8]]</f>
        <v/>
      </c>
      <c r="DD98" s="42">
        <f>-IslandModel[[#This Row],[Input 8 Consumed]]</f>
        <v>0</v>
      </c>
      <c r="DE98" s="42" t="str">
        <f>IslandModel[[#This Row],[Input 9]]</f>
        <v/>
      </c>
      <c r="DF98" s="42">
        <f>-IslandModel[[#This Row],[Input 9 Consumed]]</f>
        <v>0</v>
      </c>
      <c r="DG98" s="42" t="str">
        <f>IslandModel[[#This Row],[Input 10]]</f>
        <v/>
      </c>
      <c r="DH98" s="42">
        <f>-IslandModel[[#This Row],[Input 10 Consumed]]</f>
        <v>0</v>
      </c>
      <c r="DJ98" s="69" t="s">
        <v>86</v>
      </c>
      <c r="DK98" s="39">
        <f>SUM(SUMIFS(IslandModel[Resource 1 Qty],IslandModel[Resource 1],ResourceAvailable[[#This Row],[Resource]]))</f>
        <v>0</v>
      </c>
      <c r="DL98"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98" s="39">
        <f>ResourceAvailable[[#This Row],[Amount Produced]]-ResourceAvailable[[#This Row],[Amount Consumed]]</f>
        <v>0</v>
      </c>
      <c r="DN98" s="20">
        <f>MAX(0,ResourceAvailable[[#This Row],[Amount Available for Resident Consumption]]-SUMIFS(ConsumptionModel[Resource Demand],ConsumptionModel[Resource],ResourceAvailable[[#This Row],[Resource]]))</f>
        <v>0</v>
      </c>
    </row>
    <row r="99" spans="30:118" ht="21" x14ac:dyDescent="0.65">
      <c r="AD99" s="83">
        <f>ROW()</f>
        <v>99</v>
      </c>
      <c r="AE99" s="106"/>
      <c r="AF99" s="72"/>
      <c r="AG99" s="18"/>
      <c r="AH99" s="18"/>
      <c r="AI99" s="156">
        <f>IFERROR(IslandModel[[#This Row],[Quantity]]/IslandModel[[#This Row],[Target Quantity]],0)</f>
        <v>0</v>
      </c>
      <c r="AJ99" s="61" t="str">
        <f>IFERROR(INDEX(Production[Resource Produced],MATCH(IslandModel[[#This Row],[Building]],Production[Building],0)),"")</f>
        <v/>
      </c>
      <c r="AK99" s="99">
        <f>IFERROR(IslandModel[[#This Row],[Quantity]]*INDEX(Production[Production in 1h],MATCH(IslandModel[[#This Row],[Building]],Production[Building],0))*IslandModel[[#This Row],[Input Consumption Multiplier]],0)</f>
        <v>0</v>
      </c>
      <c r="AL99" s="115">
        <f>100%</f>
        <v>1</v>
      </c>
      <c r="AM99"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99" s="77" t="str">
        <f>IFERROR(INDEX(Production[Input 1],MATCH(IslandModel[[#This Row],[Building]],Production[Building],0)),"")</f>
        <v/>
      </c>
      <c r="AO99" s="78"/>
      <c r="AP99"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99"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99"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99" s="35" t="str">
        <f>IFERROR(INDEX(Production[Input 2],MATCH(IslandModel[[#This Row],[Building]],Production[Building],0)),"")</f>
        <v/>
      </c>
      <c r="AT99" s="78"/>
      <c r="AU99"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99"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99"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99" s="35" t="str">
        <f>IFERROR(INDEX(Production[Input 3],MATCH(IslandModel[[#This Row],[Building]],Production[Building],0)),"")</f>
        <v/>
      </c>
      <c r="AY99" s="78"/>
      <c r="AZ99"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99"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99"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99" s="35" t="str">
        <f>IFERROR(INDEX(Production[Input 4],MATCH(IslandModel[[#This Row],[Building]],Production[Building],0)),"")</f>
        <v/>
      </c>
      <c r="BD99" s="78"/>
      <c r="BE99"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99"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99"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99" s="35" t="str">
        <f>IFERROR(INDEX(Production[Input 5],MATCH(IslandModel[[#This Row],[Building]],Production[Building],0)),"")</f>
        <v/>
      </c>
      <c r="BI99" s="78"/>
      <c r="BJ99"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99"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99"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99" s="35" t="str">
        <f>IFERROR(INDEX(Production[Input 6],MATCH(IslandModel[[#This Row],[Building]],Production[Building],0)),"")</f>
        <v/>
      </c>
      <c r="BN99" s="78"/>
      <c r="BO99"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99"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99"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99" s="35" t="str">
        <f>IFERROR(INDEX(Production[Input 7],MATCH(IslandModel[[#This Row],[Building]],Production[Building],0)),"")</f>
        <v/>
      </c>
      <c r="BS99" s="78"/>
      <c r="BT99"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99"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99"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99" s="35" t="str">
        <f>IFERROR(INDEX(Production[Input 8],MATCH(IslandModel[[#This Row],[Building]],Production[Building],0)),"")</f>
        <v/>
      </c>
      <c r="BX99" s="78"/>
      <c r="BY99"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99"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99"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99" s="35" t="str">
        <f>IFERROR(INDEX(Production[Input 9],MATCH(IslandModel[[#This Row],[Building]],Production[Building],0)),"")</f>
        <v/>
      </c>
      <c r="CC99" s="78"/>
      <c r="CD99"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99"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99"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99" s="35" t="str">
        <f>IFERROR(INDEX(Production[Input 10],MATCH(IslandModel[[#This Row],[Building]],Production[Building],0)),"")</f>
        <v/>
      </c>
      <c r="CH99" s="78"/>
      <c r="CI99"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99"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99"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99"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99" s="82" t="str">
        <f>IslandModel[[#This Row],[Resource Produced]]</f>
        <v/>
      </c>
      <c r="CN99" s="42">
        <f>IslandModel[[#This Row],[Amount produced/h]]</f>
        <v>0</v>
      </c>
      <c r="CO99" s="42" t="str">
        <f>IslandModel[[#This Row],[Input 1]]</f>
        <v/>
      </c>
      <c r="CP99" s="42">
        <f>-IslandModel[[#This Row],[Input 1 Consumed]]</f>
        <v>0</v>
      </c>
      <c r="CQ99" s="42" t="str">
        <f>IslandModel[[#This Row],[Input 2]]</f>
        <v/>
      </c>
      <c r="CR99" s="42">
        <f>-IslandModel[[#This Row],[Input 2 Consumed]]</f>
        <v>0</v>
      </c>
      <c r="CS99" s="42" t="str">
        <f>IslandModel[[#This Row],[Input 3]]</f>
        <v/>
      </c>
      <c r="CT99" s="42">
        <f>-IslandModel[[#This Row],[Input 3 Consumed]]</f>
        <v>0</v>
      </c>
      <c r="CU99" s="42" t="str">
        <f>IslandModel[[#This Row],[Input 4]]</f>
        <v/>
      </c>
      <c r="CV99" s="42">
        <f>-IslandModel[[#This Row],[Input 4 Consumed]]</f>
        <v>0</v>
      </c>
      <c r="CW99" s="42" t="str">
        <f>IslandModel[[#This Row],[Input 5]]</f>
        <v/>
      </c>
      <c r="CX99" s="42">
        <f>-IslandModel[[#This Row],[Input 5 Consumed]]</f>
        <v>0</v>
      </c>
      <c r="CY99" s="42" t="str">
        <f>IslandModel[[#This Row],[Input 6]]</f>
        <v/>
      </c>
      <c r="CZ99" s="42">
        <f>-IslandModel[[#This Row],[Input 6 Consumed]]</f>
        <v>0</v>
      </c>
      <c r="DA99" s="42" t="str">
        <f>IslandModel[[#This Row],[Input 7]]</f>
        <v/>
      </c>
      <c r="DB99" s="42">
        <f>-IslandModel[[#This Row],[Input 7 Consumed]]</f>
        <v>0</v>
      </c>
      <c r="DC99" s="42" t="str">
        <f>IslandModel[[#This Row],[Input 8]]</f>
        <v/>
      </c>
      <c r="DD99" s="42">
        <f>-IslandModel[[#This Row],[Input 8 Consumed]]</f>
        <v>0</v>
      </c>
      <c r="DE99" s="42" t="str">
        <f>IslandModel[[#This Row],[Input 9]]</f>
        <v/>
      </c>
      <c r="DF99" s="42">
        <f>-IslandModel[[#This Row],[Input 9 Consumed]]</f>
        <v>0</v>
      </c>
      <c r="DG99" s="42" t="str">
        <f>IslandModel[[#This Row],[Input 10]]</f>
        <v/>
      </c>
      <c r="DH99" s="42">
        <f>-IslandModel[[#This Row],[Input 10 Consumed]]</f>
        <v>0</v>
      </c>
      <c r="DJ99" s="69" t="s">
        <v>164</v>
      </c>
      <c r="DK99" s="39">
        <f>SUM(SUMIFS(IslandModel[Resource 1 Qty],IslandModel[Resource 1],ResourceAvailable[[#This Row],[Resource]]))</f>
        <v>0</v>
      </c>
      <c r="DL99"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99" s="39">
        <f>ResourceAvailable[[#This Row],[Amount Produced]]-ResourceAvailable[[#This Row],[Amount Consumed]]</f>
        <v>0</v>
      </c>
      <c r="DN99" s="20">
        <f>MAX(0,ResourceAvailable[[#This Row],[Amount Available for Resident Consumption]]-SUMIFS(ConsumptionModel[Resource Demand],ConsumptionModel[Resource],ResourceAvailable[[#This Row],[Resource]]))</f>
        <v>0</v>
      </c>
    </row>
    <row r="100" spans="30:118" ht="21" x14ac:dyDescent="0.65">
      <c r="AD100" s="83">
        <f>ROW()</f>
        <v>100</v>
      </c>
      <c r="AE100" s="106"/>
      <c r="AF100" s="72"/>
      <c r="AG100" s="18"/>
      <c r="AH100" s="18"/>
      <c r="AI100" s="156">
        <f>IFERROR(IslandModel[[#This Row],[Quantity]]/IslandModel[[#This Row],[Target Quantity]],0)</f>
        <v>0</v>
      </c>
      <c r="AJ100" s="61" t="str">
        <f>IFERROR(INDEX(Production[Resource Produced],MATCH(IslandModel[[#This Row],[Building]],Production[Building],0)),"")</f>
        <v/>
      </c>
      <c r="AK100" s="99">
        <f>IFERROR(IslandModel[[#This Row],[Quantity]]*INDEX(Production[Production in 1h],MATCH(IslandModel[[#This Row],[Building]],Production[Building],0))*IslandModel[[#This Row],[Input Consumption Multiplier]],0)</f>
        <v>0</v>
      </c>
      <c r="AL100" s="115">
        <f>100%</f>
        <v>1</v>
      </c>
      <c r="AM100"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00" s="77" t="str">
        <f>IFERROR(INDEX(Production[Input 1],MATCH(IslandModel[[#This Row],[Building]],Production[Building],0)),"")</f>
        <v/>
      </c>
      <c r="AO100" s="78"/>
      <c r="AP100"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00"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00"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00" s="35" t="str">
        <f>IFERROR(INDEX(Production[Input 2],MATCH(IslandModel[[#This Row],[Building]],Production[Building],0)),"")</f>
        <v/>
      </c>
      <c r="AT100" s="78"/>
      <c r="AU100"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00"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00"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00" s="35" t="str">
        <f>IFERROR(INDEX(Production[Input 3],MATCH(IslandModel[[#This Row],[Building]],Production[Building],0)),"")</f>
        <v/>
      </c>
      <c r="AY100" s="78"/>
      <c r="AZ100"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00"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00"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00" s="35" t="str">
        <f>IFERROR(INDEX(Production[Input 4],MATCH(IslandModel[[#This Row],[Building]],Production[Building],0)),"")</f>
        <v/>
      </c>
      <c r="BD100" s="78"/>
      <c r="BE100"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00"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00"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00" s="35" t="str">
        <f>IFERROR(INDEX(Production[Input 5],MATCH(IslandModel[[#This Row],[Building]],Production[Building],0)),"")</f>
        <v/>
      </c>
      <c r="BI100" s="78"/>
      <c r="BJ100"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00"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00"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00" s="35" t="str">
        <f>IFERROR(INDEX(Production[Input 6],MATCH(IslandModel[[#This Row],[Building]],Production[Building],0)),"")</f>
        <v/>
      </c>
      <c r="BN100" s="78"/>
      <c r="BO100"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00"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00"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00" s="35" t="str">
        <f>IFERROR(INDEX(Production[Input 7],MATCH(IslandModel[[#This Row],[Building]],Production[Building],0)),"")</f>
        <v/>
      </c>
      <c r="BS100" s="78"/>
      <c r="BT100"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00"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00"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00" s="35" t="str">
        <f>IFERROR(INDEX(Production[Input 8],MATCH(IslandModel[[#This Row],[Building]],Production[Building],0)),"")</f>
        <v/>
      </c>
      <c r="BX100" s="78"/>
      <c r="BY100"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00"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00"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00" s="35" t="str">
        <f>IFERROR(INDEX(Production[Input 9],MATCH(IslandModel[[#This Row],[Building]],Production[Building],0)),"")</f>
        <v/>
      </c>
      <c r="CC100" s="78"/>
      <c r="CD100"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00"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00"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00" s="35" t="str">
        <f>IFERROR(INDEX(Production[Input 10],MATCH(IslandModel[[#This Row],[Building]],Production[Building],0)),"")</f>
        <v/>
      </c>
      <c r="CH100" s="78"/>
      <c r="CI100"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00"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00"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00"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00" s="82" t="str">
        <f>IslandModel[[#This Row],[Resource Produced]]</f>
        <v/>
      </c>
      <c r="CN100" s="42">
        <f>IslandModel[[#This Row],[Amount produced/h]]</f>
        <v>0</v>
      </c>
      <c r="CO100" s="42" t="str">
        <f>IslandModel[[#This Row],[Input 1]]</f>
        <v/>
      </c>
      <c r="CP100" s="42">
        <f>-IslandModel[[#This Row],[Input 1 Consumed]]</f>
        <v>0</v>
      </c>
      <c r="CQ100" s="42" t="str">
        <f>IslandModel[[#This Row],[Input 2]]</f>
        <v/>
      </c>
      <c r="CR100" s="42">
        <f>-IslandModel[[#This Row],[Input 2 Consumed]]</f>
        <v>0</v>
      </c>
      <c r="CS100" s="42" t="str">
        <f>IslandModel[[#This Row],[Input 3]]</f>
        <v/>
      </c>
      <c r="CT100" s="42">
        <f>-IslandModel[[#This Row],[Input 3 Consumed]]</f>
        <v>0</v>
      </c>
      <c r="CU100" s="42" t="str">
        <f>IslandModel[[#This Row],[Input 4]]</f>
        <v/>
      </c>
      <c r="CV100" s="42">
        <f>-IslandModel[[#This Row],[Input 4 Consumed]]</f>
        <v>0</v>
      </c>
      <c r="CW100" s="42" t="str">
        <f>IslandModel[[#This Row],[Input 5]]</f>
        <v/>
      </c>
      <c r="CX100" s="42">
        <f>-IslandModel[[#This Row],[Input 5 Consumed]]</f>
        <v>0</v>
      </c>
      <c r="CY100" s="42" t="str">
        <f>IslandModel[[#This Row],[Input 6]]</f>
        <v/>
      </c>
      <c r="CZ100" s="42">
        <f>-IslandModel[[#This Row],[Input 6 Consumed]]</f>
        <v>0</v>
      </c>
      <c r="DA100" s="42" t="str">
        <f>IslandModel[[#This Row],[Input 7]]</f>
        <v/>
      </c>
      <c r="DB100" s="42">
        <f>-IslandModel[[#This Row],[Input 7 Consumed]]</f>
        <v>0</v>
      </c>
      <c r="DC100" s="42" t="str">
        <f>IslandModel[[#This Row],[Input 8]]</f>
        <v/>
      </c>
      <c r="DD100" s="42">
        <f>-IslandModel[[#This Row],[Input 8 Consumed]]</f>
        <v>0</v>
      </c>
      <c r="DE100" s="42" t="str">
        <f>IslandModel[[#This Row],[Input 9]]</f>
        <v/>
      </c>
      <c r="DF100" s="42">
        <f>-IslandModel[[#This Row],[Input 9 Consumed]]</f>
        <v>0</v>
      </c>
      <c r="DG100" s="42" t="str">
        <f>IslandModel[[#This Row],[Input 10]]</f>
        <v/>
      </c>
      <c r="DH100" s="42">
        <f>-IslandModel[[#This Row],[Input 10 Consumed]]</f>
        <v>0</v>
      </c>
      <c r="DJ100" s="69" t="s">
        <v>365</v>
      </c>
      <c r="DK100" s="39">
        <f>SUM(SUMIFS(IslandModel[Resource 1 Qty],IslandModel[Resource 1],ResourceAvailable[[#This Row],[Resource]]))</f>
        <v>0</v>
      </c>
      <c r="DL100"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00" s="39">
        <f>ResourceAvailable[[#This Row],[Amount Produced]]-ResourceAvailable[[#This Row],[Amount Consumed]]</f>
        <v>0</v>
      </c>
      <c r="DN100" s="20">
        <f>MAX(0,ResourceAvailable[[#This Row],[Amount Available for Resident Consumption]]-SUMIFS(ConsumptionModel[Resource Demand],ConsumptionModel[Resource],ResourceAvailable[[#This Row],[Resource]]))</f>
        <v>0</v>
      </c>
    </row>
    <row r="101" spans="30:118" ht="21" x14ac:dyDescent="0.65">
      <c r="AD101" s="83">
        <f>ROW()</f>
        <v>101</v>
      </c>
      <c r="AE101" s="106"/>
      <c r="AF101" s="72"/>
      <c r="AG101" s="18"/>
      <c r="AH101" s="18"/>
      <c r="AI101" s="156">
        <f>IFERROR(IslandModel[[#This Row],[Quantity]]/IslandModel[[#This Row],[Target Quantity]],0)</f>
        <v>0</v>
      </c>
      <c r="AJ101" s="61" t="str">
        <f>IFERROR(INDEX(Production[Resource Produced],MATCH(IslandModel[[#This Row],[Building]],Production[Building],0)),"")</f>
        <v/>
      </c>
      <c r="AK101" s="99">
        <f>IFERROR(IslandModel[[#This Row],[Quantity]]*INDEX(Production[Production in 1h],MATCH(IslandModel[[#This Row],[Building]],Production[Building],0))*IslandModel[[#This Row],[Input Consumption Multiplier]],0)</f>
        <v>0</v>
      </c>
      <c r="AL101" s="115">
        <f>100%</f>
        <v>1</v>
      </c>
      <c r="AM101"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01" s="77" t="str">
        <f>IFERROR(INDEX(Production[Input 1],MATCH(IslandModel[[#This Row],[Building]],Production[Building],0)),"")</f>
        <v/>
      </c>
      <c r="AO101" s="78"/>
      <c r="AP101"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01"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01"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01" s="35" t="str">
        <f>IFERROR(INDEX(Production[Input 2],MATCH(IslandModel[[#This Row],[Building]],Production[Building],0)),"")</f>
        <v/>
      </c>
      <c r="AT101" s="78"/>
      <c r="AU101"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01"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01"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01" s="35" t="str">
        <f>IFERROR(INDEX(Production[Input 3],MATCH(IslandModel[[#This Row],[Building]],Production[Building],0)),"")</f>
        <v/>
      </c>
      <c r="AY101" s="78"/>
      <c r="AZ101"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01"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01"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01" s="35" t="str">
        <f>IFERROR(INDEX(Production[Input 4],MATCH(IslandModel[[#This Row],[Building]],Production[Building],0)),"")</f>
        <v/>
      </c>
      <c r="BD101" s="78"/>
      <c r="BE101"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01"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01"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01" s="35" t="str">
        <f>IFERROR(INDEX(Production[Input 5],MATCH(IslandModel[[#This Row],[Building]],Production[Building],0)),"")</f>
        <v/>
      </c>
      <c r="BI101" s="78"/>
      <c r="BJ101"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01"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01"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01" s="35" t="str">
        <f>IFERROR(INDEX(Production[Input 6],MATCH(IslandModel[[#This Row],[Building]],Production[Building],0)),"")</f>
        <v/>
      </c>
      <c r="BN101" s="78"/>
      <c r="BO101"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01"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01"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01" s="35" t="str">
        <f>IFERROR(INDEX(Production[Input 7],MATCH(IslandModel[[#This Row],[Building]],Production[Building],0)),"")</f>
        <v/>
      </c>
      <c r="BS101" s="78"/>
      <c r="BT101"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01"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01"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01" s="35" t="str">
        <f>IFERROR(INDEX(Production[Input 8],MATCH(IslandModel[[#This Row],[Building]],Production[Building],0)),"")</f>
        <v/>
      </c>
      <c r="BX101" s="78"/>
      <c r="BY101"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01"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01"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01" s="35" t="str">
        <f>IFERROR(INDEX(Production[Input 9],MATCH(IslandModel[[#This Row],[Building]],Production[Building],0)),"")</f>
        <v/>
      </c>
      <c r="CC101" s="78"/>
      <c r="CD101"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01"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01"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01" s="35" t="str">
        <f>IFERROR(INDEX(Production[Input 10],MATCH(IslandModel[[#This Row],[Building]],Production[Building],0)),"")</f>
        <v/>
      </c>
      <c r="CH101" s="78"/>
      <c r="CI101"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01"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01"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01"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01" s="82" t="str">
        <f>IslandModel[[#This Row],[Resource Produced]]</f>
        <v/>
      </c>
      <c r="CN101" s="42">
        <f>IslandModel[[#This Row],[Amount produced/h]]</f>
        <v>0</v>
      </c>
      <c r="CO101" s="42" t="str">
        <f>IslandModel[[#This Row],[Input 1]]</f>
        <v/>
      </c>
      <c r="CP101" s="42">
        <f>-IslandModel[[#This Row],[Input 1 Consumed]]</f>
        <v>0</v>
      </c>
      <c r="CQ101" s="42" t="str">
        <f>IslandModel[[#This Row],[Input 2]]</f>
        <v/>
      </c>
      <c r="CR101" s="42">
        <f>-IslandModel[[#This Row],[Input 2 Consumed]]</f>
        <v>0</v>
      </c>
      <c r="CS101" s="42" t="str">
        <f>IslandModel[[#This Row],[Input 3]]</f>
        <v/>
      </c>
      <c r="CT101" s="42">
        <f>-IslandModel[[#This Row],[Input 3 Consumed]]</f>
        <v>0</v>
      </c>
      <c r="CU101" s="42" t="str">
        <f>IslandModel[[#This Row],[Input 4]]</f>
        <v/>
      </c>
      <c r="CV101" s="42">
        <f>-IslandModel[[#This Row],[Input 4 Consumed]]</f>
        <v>0</v>
      </c>
      <c r="CW101" s="42" t="str">
        <f>IslandModel[[#This Row],[Input 5]]</f>
        <v/>
      </c>
      <c r="CX101" s="42">
        <f>-IslandModel[[#This Row],[Input 5 Consumed]]</f>
        <v>0</v>
      </c>
      <c r="CY101" s="42" t="str">
        <f>IslandModel[[#This Row],[Input 6]]</f>
        <v/>
      </c>
      <c r="CZ101" s="42">
        <f>-IslandModel[[#This Row],[Input 6 Consumed]]</f>
        <v>0</v>
      </c>
      <c r="DA101" s="42" t="str">
        <f>IslandModel[[#This Row],[Input 7]]</f>
        <v/>
      </c>
      <c r="DB101" s="42">
        <f>-IslandModel[[#This Row],[Input 7 Consumed]]</f>
        <v>0</v>
      </c>
      <c r="DC101" s="42" t="str">
        <f>IslandModel[[#This Row],[Input 8]]</f>
        <v/>
      </c>
      <c r="DD101" s="42">
        <f>-IslandModel[[#This Row],[Input 8 Consumed]]</f>
        <v>0</v>
      </c>
      <c r="DE101" s="42" t="str">
        <f>IslandModel[[#This Row],[Input 9]]</f>
        <v/>
      </c>
      <c r="DF101" s="42">
        <f>-IslandModel[[#This Row],[Input 9 Consumed]]</f>
        <v>0</v>
      </c>
      <c r="DG101" s="42" t="str">
        <f>IslandModel[[#This Row],[Input 10]]</f>
        <v/>
      </c>
      <c r="DH101" s="42">
        <f>-IslandModel[[#This Row],[Input 10 Consumed]]</f>
        <v>0</v>
      </c>
      <c r="DJ101" s="69" t="s">
        <v>85</v>
      </c>
      <c r="DK101" s="39">
        <f>SUM(SUMIFS(IslandModel[Resource 1 Qty],IslandModel[Resource 1],ResourceAvailable[[#This Row],[Resource]]))</f>
        <v>0</v>
      </c>
      <c r="DL101"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01" s="39">
        <f>ResourceAvailable[[#This Row],[Amount Produced]]-ResourceAvailable[[#This Row],[Amount Consumed]]</f>
        <v>0</v>
      </c>
      <c r="DN101" s="20">
        <f>MAX(0,ResourceAvailable[[#This Row],[Amount Available for Resident Consumption]]-SUMIFS(ConsumptionModel[Resource Demand],ConsumptionModel[Resource],ResourceAvailable[[#This Row],[Resource]]))</f>
        <v>0</v>
      </c>
    </row>
    <row r="102" spans="30:118" ht="21" x14ac:dyDescent="0.65">
      <c r="AD102" s="83">
        <f>ROW()</f>
        <v>102</v>
      </c>
      <c r="AE102" s="106"/>
      <c r="AF102" s="72"/>
      <c r="AG102" s="18"/>
      <c r="AH102" s="18"/>
      <c r="AI102" s="156">
        <f>IFERROR(IslandModel[[#This Row],[Quantity]]/IslandModel[[#This Row],[Target Quantity]],0)</f>
        <v>0</v>
      </c>
      <c r="AJ102" s="61" t="str">
        <f>IFERROR(INDEX(Production[Resource Produced],MATCH(IslandModel[[#This Row],[Building]],Production[Building],0)),"")</f>
        <v/>
      </c>
      <c r="AK102" s="99">
        <f>IFERROR(IslandModel[[#This Row],[Quantity]]*INDEX(Production[Production in 1h],MATCH(IslandModel[[#This Row],[Building]],Production[Building],0))*IslandModel[[#This Row],[Input Consumption Multiplier]],0)</f>
        <v>0</v>
      </c>
      <c r="AL102" s="115">
        <f>100%</f>
        <v>1</v>
      </c>
      <c r="AM102"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02" s="77" t="str">
        <f>IFERROR(INDEX(Production[Input 1],MATCH(IslandModel[[#This Row],[Building]],Production[Building],0)),"")</f>
        <v/>
      </c>
      <c r="AO102" s="78"/>
      <c r="AP102"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02"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02"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02" s="35" t="str">
        <f>IFERROR(INDEX(Production[Input 2],MATCH(IslandModel[[#This Row],[Building]],Production[Building],0)),"")</f>
        <v/>
      </c>
      <c r="AT102" s="78"/>
      <c r="AU102"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02"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02"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02" s="35" t="str">
        <f>IFERROR(INDEX(Production[Input 3],MATCH(IslandModel[[#This Row],[Building]],Production[Building],0)),"")</f>
        <v/>
      </c>
      <c r="AY102" s="78"/>
      <c r="AZ102"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02"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02"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02" s="35" t="str">
        <f>IFERROR(INDEX(Production[Input 4],MATCH(IslandModel[[#This Row],[Building]],Production[Building],0)),"")</f>
        <v/>
      </c>
      <c r="BD102" s="78"/>
      <c r="BE102"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02"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02"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02" s="35" t="str">
        <f>IFERROR(INDEX(Production[Input 5],MATCH(IslandModel[[#This Row],[Building]],Production[Building],0)),"")</f>
        <v/>
      </c>
      <c r="BI102" s="78"/>
      <c r="BJ102"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02"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02"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02" s="35" t="str">
        <f>IFERROR(INDEX(Production[Input 6],MATCH(IslandModel[[#This Row],[Building]],Production[Building],0)),"")</f>
        <v/>
      </c>
      <c r="BN102" s="78"/>
      <c r="BO102"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02"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02"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02" s="35" t="str">
        <f>IFERROR(INDEX(Production[Input 7],MATCH(IslandModel[[#This Row],[Building]],Production[Building],0)),"")</f>
        <v/>
      </c>
      <c r="BS102" s="78"/>
      <c r="BT102"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02"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02"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02" s="35" t="str">
        <f>IFERROR(INDEX(Production[Input 8],MATCH(IslandModel[[#This Row],[Building]],Production[Building],0)),"")</f>
        <v/>
      </c>
      <c r="BX102" s="78"/>
      <c r="BY102"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02"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02"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02" s="35" t="str">
        <f>IFERROR(INDEX(Production[Input 9],MATCH(IslandModel[[#This Row],[Building]],Production[Building],0)),"")</f>
        <v/>
      </c>
      <c r="CC102" s="78"/>
      <c r="CD102"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02"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02"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02" s="35" t="str">
        <f>IFERROR(INDEX(Production[Input 10],MATCH(IslandModel[[#This Row],[Building]],Production[Building],0)),"")</f>
        <v/>
      </c>
      <c r="CH102" s="78"/>
      <c r="CI102"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02"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02"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02"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02" s="82" t="str">
        <f>IslandModel[[#This Row],[Resource Produced]]</f>
        <v/>
      </c>
      <c r="CN102" s="42">
        <f>IslandModel[[#This Row],[Amount produced/h]]</f>
        <v>0</v>
      </c>
      <c r="CO102" s="42" t="str">
        <f>IslandModel[[#This Row],[Input 1]]</f>
        <v/>
      </c>
      <c r="CP102" s="42">
        <f>-IslandModel[[#This Row],[Input 1 Consumed]]</f>
        <v>0</v>
      </c>
      <c r="CQ102" s="42" t="str">
        <f>IslandModel[[#This Row],[Input 2]]</f>
        <v/>
      </c>
      <c r="CR102" s="42">
        <f>-IslandModel[[#This Row],[Input 2 Consumed]]</f>
        <v>0</v>
      </c>
      <c r="CS102" s="42" t="str">
        <f>IslandModel[[#This Row],[Input 3]]</f>
        <v/>
      </c>
      <c r="CT102" s="42">
        <f>-IslandModel[[#This Row],[Input 3 Consumed]]</f>
        <v>0</v>
      </c>
      <c r="CU102" s="42" t="str">
        <f>IslandModel[[#This Row],[Input 4]]</f>
        <v/>
      </c>
      <c r="CV102" s="42">
        <f>-IslandModel[[#This Row],[Input 4 Consumed]]</f>
        <v>0</v>
      </c>
      <c r="CW102" s="42" t="str">
        <f>IslandModel[[#This Row],[Input 5]]</f>
        <v/>
      </c>
      <c r="CX102" s="42">
        <f>-IslandModel[[#This Row],[Input 5 Consumed]]</f>
        <v>0</v>
      </c>
      <c r="CY102" s="42" t="str">
        <f>IslandModel[[#This Row],[Input 6]]</f>
        <v/>
      </c>
      <c r="CZ102" s="42">
        <f>-IslandModel[[#This Row],[Input 6 Consumed]]</f>
        <v>0</v>
      </c>
      <c r="DA102" s="42" t="str">
        <f>IslandModel[[#This Row],[Input 7]]</f>
        <v/>
      </c>
      <c r="DB102" s="42">
        <f>-IslandModel[[#This Row],[Input 7 Consumed]]</f>
        <v>0</v>
      </c>
      <c r="DC102" s="42" t="str">
        <f>IslandModel[[#This Row],[Input 8]]</f>
        <v/>
      </c>
      <c r="DD102" s="42">
        <f>-IslandModel[[#This Row],[Input 8 Consumed]]</f>
        <v>0</v>
      </c>
      <c r="DE102" s="42" t="str">
        <f>IslandModel[[#This Row],[Input 9]]</f>
        <v/>
      </c>
      <c r="DF102" s="42">
        <f>-IslandModel[[#This Row],[Input 9 Consumed]]</f>
        <v>0</v>
      </c>
      <c r="DG102" s="42" t="str">
        <f>IslandModel[[#This Row],[Input 10]]</f>
        <v/>
      </c>
      <c r="DH102" s="42">
        <f>-IslandModel[[#This Row],[Input 10 Consumed]]</f>
        <v>0</v>
      </c>
      <c r="DJ102" s="69" t="s">
        <v>387</v>
      </c>
      <c r="DK102" s="39">
        <f>SUM(SUMIFS(IslandModel[Resource 1 Qty],IslandModel[Resource 1],ResourceAvailable[[#This Row],[Resource]]))</f>
        <v>0</v>
      </c>
      <c r="DL102"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02" s="39">
        <f>ResourceAvailable[[#This Row],[Amount Produced]]-ResourceAvailable[[#This Row],[Amount Consumed]]</f>
        <v>0</v>
      </c>
      <c r="DN102" s="20">
        <f>MAX(0,ResourceAvailable[[#This Row],[Amount Available for Resident Consumption]]-SUMIFS(ConsumptionModel[Resource Demand],ConsumptionModel[Resource],ResourceAvailable[[#This Row],[Resource]]))</f>
        <v>0</v>
      </c>
    </row>
    <row r="103" spans="30:118" ht="21" x14ac:dyDescent="0.65">
      <c r="AD103" s="83">
        <f>ROW()</f>
        <v>103</v>
      </c>
      <c r="AE103" s="106"/>
      <c r="AF103" s="72"/>
      <c r="AG103" s="18"/>
      <c r="AH103" s="18"/>
      <c r="AI103" s="156">
        <f>IFERROR(IslandModel[[#This Row],[Quantity]]/IslandModel[[#This Row],[Target Quantity]],0)</f>
        <v>0</v>
      </c>
      <c r="AJ103" s="61" t="str">
        <f>IFERROR(INDEX(Production[Resource Produced],MATCH(IslandModel[[#This Row],[Building]],Production[Building],0)),"")</f>
        <v/>
      </c>
      <c r="AK103" s="99">
        <f>IFERROR(IslandModel[[#This Row],[Quantity]]*INDEX(Production[Production in 1h],MATCH(IslandModel[[#This Row],[Building]],Production[Building],0))*IslandModel[[#This Row],[Input Consumption Multiplier]],0)</f>
        <v>0</v>
      </c>
      <c r="AL103" s="115">
        <f>100%</f>
        <v>1</v>
      </c>
      <c r="AM103"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03" s="77" t="str">
        <f>IFERROR(INDEX(Production[Input 1],MATCH(IslandModel[[#This Row],[Building]],Production[Building],0)),"")</f>
        <v/>
      </c>
      <c r="AO103" s="78"/>
      <c r="AP103"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03"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03"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03" s="35" t="str">
        <f>IFERROR(INDEX(Production[Input 2],MATCH(IslandModel[[#This Row],[Building]],Production[Building],0)),"")</f>
        <v/>
      </c>
      <c r="AT103" s="78"/>
      <c r="AU103"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03"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03"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03" s="35" t="str">
        <f>IFERROR(INDEX(Production[Input 3],MATCH(IslandModel[[#This Row],[Building]],Production[Building],0)),"")</f>
        <v/>
      </c>
      <c r="AY103" s="78"/>
      <c r="AZ103"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03"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03"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03" s="35" t="str">
        <f>IFERROR(INDEX(Production[Input 4],MATCH(IslandModel[[#This Row],[Building]],Production[Building],0)),"")</f>
        <v/>
      </c>
      <c r="BD103" s="78"/>
      <c r="BE103"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03"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03"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03" s="35" t="str">
        <f>IFERROR(INDEX(Production[Input 5],MATCH(IslandModel[[#This Row],[Building]],Production[Building],0)),"")</f>
        <v/>
      </c>
      <c r="BI103" s="78"/>
      <c r="BJ103"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03"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03"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03" s="35" t="str">
        <f>IFERROR(INDEX(Production[Input 6],MATCH(IslandModel[[#This Row],[Building]],Production[Building],0)),"")</f>
        <v/>
      </c>
      <c r="BN103" s="78"/>
      <c r="BO103"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03"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03"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03" s="35" t="str">
        <f>IFERROR(INDEX(Production[Input 7],MATCH(IslandModel[[#This Row],[Building]],Production[Building],0)),"")</f>
        <v/>
      </c>
      <c r="BS103" s="78"/>
      <c r="BT103"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03"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03"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03" s="35" t="str">
        <f>IFERROR(INDEX(Production[Input 8],MATCH(IslandModel[[#This Row],[Building]],Production[Building],0)),"")</f>
        <v/>
      </c>
      <c r="BX103" s="78"/>
      <c r="BY103"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03"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03"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03" s="35" t="str">
        <f>IFERROR(INDEX(Production[Input 9],MATCH(IslandModel[[#This Row],[Building]],Production[Building],0)),"")</f>
        <v/>
      </c>
      <c r="CC103" s="78"/>
      <c r="CD103"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03"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03"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03" s="35" t="str">
        <f>IFERROR(INDEX(Production[Input 10],MATCH(IslandModel[[#This Row],[Building]],Production[Building],0)),"")</f>
        <v/>
      </c>
      <c r="CH103" s="78"/>
      <c r="CI103"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03"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03"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03"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03" s="82" t="str">
        <f>IslandModel[[#This Row],[Resource Produced]]</f>
        <v/>
      </c>
      <c r="CN103" s="42">
        <f>IslandModel[[#This Row],[Amount produced/h]]</f>
        <v>0</v>
      </c>
      <c r="CO103" s="42" t="str">
        <f>IslandModel[[#This Row],[Input 1]]</f>
        <v/>
      </c>
      <c r="CP103" s="42">
        <f>-IslandModel[[#This Row],[Input 1 Consumed]]</f>
        <v>0</v>
      </c>
      <c r="CQ103" s="42" t="str">
        <f>IslandModel[[#This Row],[Input 2]]</f>
        <v/>
      </c>
      <c r="CR103" s="42">
        <f>-IslandModel[[#This Row],[Input 2 Consumed]]</f>
        <v>0</v>
      </c>
      <c r="CS103" s="42" t="str">
        <f>IslandModel[[#This Row],[Input 3]]</f>
        <v/>
      </c>
      <c r="CT103" s="42">
        <f>-IslandModel[[#This Row],[Input 3 Consumed]]</f>
        <v>0</v>
      </c>
      <c r="CU103" s="42" t="str">
        <f>IslandModel[[#This Row],[Input 4]]</f>
        <v/>
      </c>
      <c r="CV103" s="42">
        <f>-IslandModel[[#This Row],[Input 4 Consumed]]</f>
        <v>0</v>
      </c>
      <c r="CW103" s="42" t="str">
        <f>IslandModel[[#This Row],[Input 5]]</f>
        <v/>
      </c>
      <c r="CX103" s="42">
        <f>-IslandModel[[#This Row],[Input 5 Consumed]]</f>
        <v>0</v>
      </c>
      <c r="CY103" s="42" t="str">
        <f>IslandModel[[#This Row],[Input 6]]</f>
        <v/>
      </c>
      <c r="CZ103" s="42">
        <f>-IslandModel[[#This Row],[Input 6 Consumed]]</f>
        <v>0</v>
      </c>
      <c r="DA103" s="42" t="str">
        <f>IslandModel[[#This Row],[Input 7]]</f>
        <v/>
      </c>
      <c r="DB103" s="42">
        <f>-IslandModel[[#This Row],[Input 7 Consumed]]</f>
        <v>0</v>
      </c>
      <c r="DC103" s="42" t="str">
        <f>IslandModel[[#This Row],[Input 8]]</f>
        <v/>
      </c>
      <c r="DD103" s="42">
        <f>-IslandModel[[#This Row],[Input 8 Consumed]]</f>
        <v>0</v>
      </c>
      <c r="DE103" s="42" t="str">
        <f>IslandModel[[#This Row],[Input 9]]</f>
        <v/>
      </c>
      <c r="DF103" s="42">
        <f>-IslandModel[[#This Row],[Input 9 Consumed]]</f>
        <v>0</v>
      </c>
      <c r="DG103" s="42" t="str">
        <f>IslandModel[[#This Row],[Input 10]]</f>
        <v/>
      </c>
      <c r="DH103" s="42">
        <f>-IslandModel[[#This Row],[Input 10 Consumed]]</f>
        <v>0</v>
      </c>
      <c r="DJ103" s="69" t="s">
        <v>165</v>
      </c>
      <c r="DK103" s="39">
        <f>SUM(SUMIFS(IslandModel[Resource 1 Qty],IslandModel[Resource 1],ResourceAvailable[[#This Row],[Resource]]))</f>
        <v>0</v>
      </c>
      <c r="DL103"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03" s="39">
        <f>ResourceAvailable[[#This Row],[Amount Produced]]-ResourceAvailable[[#This Row],[Amount Consumed]]</f>
        <v>0</v>
      </c>
      <c r="DN103" s="20">
        <f>MAX(0,ResourceAvailable[[#This Row],[Amount Available for Resident Consumption]]-SUMIFS(ConsumptionModel[Resource Demand],ConsumptionModel[Resource],ResourceAvailable[[#This Row],[Resource]]))</f>
        <v>0</v>
      </c>
    </row>
    <row r="104" spans="30:118" ht="21" x14ac:dyDescent="0.65">
      <c r="AD104" s="83">
        <f>ROW()</f>
        <v>104</v>
      </c>
      <c r="AE104" s="106"/>
      <c r="AF104" s="72"/>
      <c r="AG104" s="18"/>
      <c r="AH104" s="18"/>
      <c r="AI104" s="156">
        <f>IFERROR(IslandModel[[#This Row],[Quantity]]/IslandModel[[#This Row],[Target Quantity]],0)</f>
        <v>0</v>
      </c>
      <c r="AJ104" s="61" t="str">
        <f>IFERROR(INDEX(Production[Resource Produced],MATCH(IslandModel[[#This Row],[Building]],Production[Building],0)),"")</f>
        <v/>
      </c>
      <c r="AK104" s="99">
        <f>IFERROR(IslandModel[[#This Row],[Quantity]]*INDEX(Production[Production in 1h],MATCH(IslandModel[[#This Row],[Building]],Production[Building],0))*IslandModel[[#This Row],[Input Consumption Multiplier]],0)</f>
        <v>0</v>
      </c>
      <c r="AL104" s="115">
        <f>100%</f>
        <v>1</v>
      </c>
      <c r="AM104"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04" s="77" t="str">
        <f>IFERROR(INDEX(Production[Input 1],MATCH(IslandModel[[#This Row],[Building]],Production[Building],0)),"")</f>
        <v/>
      </c>
      <c r="AO104" s="78"/>
      <c r="AP104"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04"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04"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04" s="35" t="str">
        <f>IFERROR(INDEX(Production[Input 2],MATCH(IslandModel[[#This Row],[Building]],Production[Building],0)),"")</f>
        <v/>
      </c>
      <c r="AT104" s="78"/>
      <c r="AU104"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04"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04"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04" s="35" t="str">
        <f>IFERROR(INDEX(Production[Input 3],MATCH(IslandModel[[#This Row],[Building]],Production[Building],0)),"")</f>
        <v/>
      </c>
      <c r="AY104" s="78"/>
      <c r="AZ104"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04"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04"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04" s="35" t="str">
        <f>IFERROR(INDEX(Production[Input 4],MATCH(IslandModel[[#This Row],[Building]],Production[Building],0)),"")</f>
        <v/>
      </c>
      <c r="BD104" s="78"/>
      <c r="BE104"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04"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04"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04" s="35" t="str">
        <f>IFERROR(INDEX(Production[Input 5],MATCH(IslandModel[[#This Row],[Building]],Production[Building],0)),"")</f>
        <v/>
      </c>
      <c r="BI104" s="78"/>
      <c r="BJ104"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04"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04"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04" s="35" t="str">
        <f>IFERROR(INDEX(Production[Input 6],MATCH(IslandModel[[#This Row],[Building]],Production[Building],0)),"")</f>
        <v/>
      </c>
      <c r="BN104" s="78"/>
      <c r="BO104"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04"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04"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04" s="35" t="str">
        <f>IFERROR(INDEX(Production[Input 7],MATCH(IslandModel[[#This Row],[Building]],Production[Building],0)),"")</f>
        <v/>
      </c>
      <c r="BS104" s="78"/>
      <c r="BT104"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04"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04"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04" s="35" t="str">
        <f>IFERROR(INDEX(Production[Input 8],MATCH(IslandModel[[#This Row],[Building]],Production[Building],0)),"")</f>
        <v/>
      </c>
      <c r="BX104" s="78"/>
      <c r="BY104"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04"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04"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04" s="35" t="str">
        <f>IFERROR(INDEX(Production[Input 9],MATCH(IslandModel[[#This Row],[Building]],Production[Building],0)),"")</f>
        <v/>
      </c>
      <c r="CC104" s="78"/>
      <c r="CD104"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04"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04"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04" s="35" t="str">
        <f>IFERROR(INDEX(Production[Input 10],MATCH(IslandModel[[#This Row],[Building]],Production[Building],0)),"")</f>
        <v/>
      </c>
      <c r="CH104" s="78"/>
      <c r="CI104"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04"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04"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04"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04" s="82" t="str">
        <f>IslandModel[[#This Row],[Resource Produced]]</f>
        <v/>
      </c>
      <c r="CN104" s="42">
        <f>IslandModel[[#This Row],[Amount produced/h]]</f>
        <v>0</v>
      </c>
      <c r="CO104" s="42" t="str">
        <f>IslandModel[[#This Row],[Input 1]]</f>
        <v/>
      </c>
      <c r="CP104" s="42">
        <f>-IslandModel[[#This Row],[Input 1 Consumed]]</f>
        <v>0</v>
      </c>
      <c r="CQ104" s="42" t="str">
        <f>IslandModel[[#This Row],[Input 2]]</f>
        <v/>
      </c>
      <c r="CR104" s="42">
        <f>-IslandModel[[#This Row],[Input 2 Consumed]]</f>
        <v>0</v>
      </c>
      <c r="CS104" s="42" t="str">
        <f>IslandModel[[#This Row],[Input 3]]</f>
        <v/>
      </c>
      <c r="CT104" s="42">
        <f>-IslandModel[[#This Row],[Input 3 Consumed]]</f>
        <v>0</v>
      </c>
      <c r="CU104" s="42" t="str">
        <f>IslandModel[[#This Row],[Input 4]]</f>
        <v/>
      </c>
      <c r="CV104" s="42">
        <f>-IslandModel[[#This Row],[Input 4 Consumed]]</f>
        <v>0</v>
      </c>
      <c r="CW104" s="42" t="str">
        <f>IslandModel[[#This Row],[Input 5]]</f>
        <v/>
      </c>
      <c r="CX104" s="42">
        <f>-IslandModel[[#This Row],[Input 5 Consumed]]</f>
        <v>0</v>
      </c>
      <c r="CY104" s="42" t="str">
        <f>IslandModel[[#This Row],[Input 6]]</f>
        <v/>
      </c>
      <c r="CZ104" s="42">
        <f>-IslandModel[[#This Row],[Input 6 Consumed]]</f>
        <v>0</v>
      </c>
      <c r="DA104" s="42" t="str">
        <f>IslandModel[[#This Row],[Input 7]]</f>
        <v/>
      </c>
      <c r="DB104" s="42">
        <f>-IslandModel[[#This Row],[Input 7 Consumed]]</f>
        <v>0</v>
      </c>
      <c r="DC104" s="42" t="str">
        <f>IslandModel[[#This Row],[Input 8]]</f>
        <v/>
      </c>
      <c r="DD104" s="42">
        <f>-IslandModel[[#This Row],[Input 8 Consumed]]</f>
        <v>0</v>
      </c>
      <c r="DE104" s="42" t="str">
        <f>IslandModel[[#This Row],[Input 9]]</f>
        <v/>
      </c>
      <c r="DF104" s="42">
        <f>-IslandModel[[#This Row],[Input 9 Consumed]]</f>
        <v>0</v>
      </c>
      <c r="DG104" s="42" t="str">
        <f>IslandModel[[#This Row],[Input 10]]</f>
        <v/>
      </c>
      <c r="DH104" s="42">
        <f>-IslandModel[[#This Row],[Input 10 Consumed]]</f>
        <v>0</v>
      </c>
      <c r="DJ104" s="69" t="s">
        <v>66</v>
      </c>
      <c r="DK104" s="39">
        <f>SUM(SUMIFS(IslandModel[Resource 1 Qty],IslandModel[Resource 1],ResourceAvailable[[#This Row],[Resource]]))</f>
        <v>0</v>
      </c>
      <c r="DL104"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04" s="39">
        <f>ResourceAvailable[[#This Row],[Amount Produced]]-ResourceAvailable[[#This Row],[Amount Consumed]]</f>
        <v>0</v>
      </c>
      <c r="DN104" s="20">
        <f>MAX(0,ResourceAvailable[[#This Row],[Amount Available for Resident Consumption]]-SUMIFS(ConsumptionModel[Resource Demand],ConsumptionModel[Resource],ResourceAvailable[[#This Row],[Resource]]))</f>
        <v>0</v>
      </c>
    </row>
    <row r="105" spans="30:118" ht="21" x14ac:dyDescent="0.65">
      <c r="AD105" s="83">
        <f>ROW()</f>
        <v>105</v>
      </c>
      <c r="AE105" s="106"/>
      <c r="AF105" s="72"/>
      <c r="AG105" s="18"/>
      <c r="AH105" s="18"/>
      <c r="AI105" s="156">
        <f>IFERROR(IslandModel[[#This Row],[Quantity]]/IslandModel[[#This Row],[Target Quantity]],0)</f>
        <v>0</v>
      </c>
      <c r="AJ105" s="61" t="str">
        <f>IFERROR(INDEX(Production[Resource Produced],MATCH(IslandModel[[#This Row],[Building]],Production[Building],0)),"")</f>
        <v/>
      </c>
      <c r="AK105" s="99">
        <f>IFERROR(IslandModel[[#This Row],[Quantity]]*INDEX(Production[Production in 1h],MATCH(IslandModel[[#This Row],[Building]],Production[Building],0))*IslandModel[[#This Row],[Input Consumption Multiplier]],0)</f>
        <v>0</v>
      </c>
      <c r="AL105" s="115">
        <f>100%</f>
        <v>1</v>
      </c>
      <c r="AM105"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05" s="77" t="str">
        <f>IFERROR(INDEX(Production[Input 1],MATCH(IslandModel[[#This Row],[Building]],Production[Building],0)),"")</f>
        <v/>
      </c>
      <c r="AO105" s="78"/>
      <c r="AP105"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05"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05"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05" s="35" t="str">
        <f>IFERROR(INDEX(Production[Input 2],MATCH(IslandModel[[#This Row],[Building]],Production[Building],0)),"")</f>
        <v/>
      </c>
      <c r="AT105" s="78"/>
      <c r="AU105"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05"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05"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05" s="35" t="str">
        <f>IFERROR(INDEX(Production[Input 3],MATCH(IslandModel[[#This Row],[Building]],Production[Building],0)),"")</f>
        <v/>
      </c>
      <c r="AY105" s="78"/>
      <c r="AZ105"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05"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05"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05" s="35" t="str">
        <f>IFERROR(INDEX(Production[Input 4],MATCH(IslandModel[[#This Row],[Building]],Production[Building],0)),"")</f>
        <v/>
      </c>
      <c r="BD105" s="78"/>
      <c r="BE105"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05"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05"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05" s="35" t="str">
        <f>IFERROR(INDEX(Production[Input 5],MATCH(IslandModel[[#This Row],[Building]],Production[Building],0)),"")</f>
        <v/>
      </c>
      <c r="BI105" s="78"/>
      <c r="BJ105"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05"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05"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05" s="35" t="str">
        <f>IFERROR(INDEX(Production[Input 6],MATCH(IslandModel[[#This Row],[Building]],Production[Building],0)),"")</f>
        <v/>
      </c>
      <c r="BN105" s="78"/>
      <c r="BO105"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05"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05"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05" s="35" t="str">
        <f>IFERROR(INDEX(Production[Input 7],MATCH(IslandModel[[#This Row],[Building]],Production[Building],0)),"")</f>
        <v/>
      </c>
      <c r="BS105" s="78"/>
      <c r="BT105"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05"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05"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05" s="35" t="str">
        <f>IFERROR(INDEX(Production[Input 8],MATCH(IslandModel[[#This Row],[Building]],Production[Building],0)),"")</f>
        <v/>
      </c>
      <c r="BX105" s="78"/>
      <c r="BY105"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05"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05"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05" s="35" t="str">
        <f>IFERROR(INDEX(Production[Input 9],MATCH(IslandModel[[#This Row],[Building]],Production[Building],0)),"")</f>
        <v/>
      </c>
      <c r="CC105" s="78"/>
      <c r="CD105"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05"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05"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05" s="35" t="str">
        <f>IFERROR(INDEX(Production[Input 10],MATCH(IslandModel[[#This Row],[Building]],Production[Building],0)),"")</f>
        <v/>
      </c>
      <c r="CH105" s="78"/>
      <c r="CI105"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05"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05"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05"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05" s="82" t="str">
        <f>IslandModel[[#This Row],[Resource Produced]]</f>
        <v/>
      </c>
      <c r="CN105" s="42">
        <f>IslandModel[[#This Row],[Amount produced/h]]</f>
        <v>0</v>
      </c>
      <c r="CO105" s="42" t="str">
        <f>IslandModel[[#This Row],[Input 1]]</f>
        <v/>
      </c>
      <c r="CP105" s="42">
        <f>-IslandModel[[#This Row],[Input 1 Consumed]]</f>
        <v>0</v>
      </c>
      <c r="CQ105" s="42" t="str">
        <f>IslandModel[[#This Row],[Input 2]]</f>
        <v/>
      </c>
      <c r="CR105" s="42">
        <f>-IslandModel[[#This Row],[Input 2 Consumed]]</f>
        <v>0</v>
      </c>
      <c r="CS105" s="42" t="str">
        <f>IslandModel[[#This Row],[Input 3]]</f>
        <v/>
      </c>
      <c r="CT105" s="42">
        <f>-IslandModel[[#This Row],[Input 3 Consumed]]</f>
        <v>0</v>
      </c>
      <c r="CU105" s="42" t="str">
        <f>IslandModel[[#This Row],[Input 4]]</f>
        <v/>
      </c>
      <c r="CV105" s="42">
        <f>-IslandModel[[#This Row],[Input 4 Consumed]]</f>
        <v>0</v>
      </c>
      <c r="CW105" s="42" t="str">
        <f>IslandModel[[#This Row],[Input 5]]</f>
        <v/>
      </c>
      <c r="CX105" s="42">
        <f>-IslandModel[[#This Row],[Input 5 Consumed]]</f>
        <v>0</v>
      </c>
      <c r="CY105" s="42" t="str">
        <f>IslandModel[[#This Row],[Input 6]]</f>
        <v/>
      </c>
      <c r="CZ105" s="42">
        <f>-IslandModel[[#This Row],[Input 6 Consumed]]</f>
        <v>0</v>
      </c>
      <c r="DA105" s="42" t="str">
        <f>IslandModel[[#This Row],[Input 7]]</f>
        <v/>
      </c>
      <c r="DB105" s="42">
        <f>-IslandModel[[#This Row],[Input 7 Consumed]]</f>
        <v>0</v>
      </c>
      <c r="DC105" s="42" t="str">
        <f>IslandModel[[#This Row],[Input 8]]</f>
        <v/>
      </c>
      <c r="DD105" s="42">
        <f>-IslandModel[[#This Row],[Input 8 Consumed]]</f>
        <v>0</v>
      </c>
      <c r="DE105" s="42" t="str">
        <f>IslandModel[[#This Row],[Input 9]]</f>
        <v/>
      </c>
      <c r="DF105" s="42">
        <f>-IslandModel[[#This Row],[Input 9 Consumed]]</f>
        <v>0</v>
      </c>
      <c r="DG105" s="42" t="str">
        <f>IslandModel[[#This Row],[Input 10]]</f>
        <v/>
      </c>
      <c r="DH105" s="42">
        <f>-IslandModel[[#This Row],[Input 10 Consumed]]</f>
        <v>0</v>
      </c>
      <c r="DJ105" s="69" t="s">
        <v>83</v>
      </c>
      <c r="DK105" s="39">
        <f>SUM(SUMIFS(IslandModel[Resource 1 Qty],IslandModel[Resource 1],ResourceAvailable[[#This Row],[Resource]]))</f>
        <v>0</v>
      </c>
      <c r="DL105"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05" s="39">
        <f>ResourceAvailable[[#This Row],[Amount Produced]]-ResourceAvailable[[#This Row],[Amount Consumed]]</f>
        <v>0</v>
      </c>
      <c r="DN105" s="20">
        <f>MAX(0,ResourceAvailable[[#This Row],[Amount Available for Resident Consumption]]-SUMIFS(ConsumptionModel[Resource Demand],ConsumptionModel[Resource],ResourceAvailable[[#This Row],[Resource]]))</f>
        <v>0</v>
      </c>
    </row>
    <row r="106" spans="30:118" ht="21" x14ac:dyDescent="0.65">
      <c r="AD106" s="83">
        <f>ROW()</f>
        <v>106</v>
      </c>
      <c r="AE106" s="106"/>
      <c r="AF106" s="72"/>
      <c r="AG106" s="18"/>
      <c r="AH106" s="18"/>
      <c r="AI106" s="156">
        <f>IFERROR(IslandModel[[#This Row],[Quantity]]/IslandModel[[#This Row],[Target Quantity]],0)</f>
        <v>0</v>
      </c>
      <c r="AJ106" s="61" t="str">
        <f>IFERROR(INDEX(Production[Resource Produced],MATCH(IslandModel[[#This Row],[Building]],Production[Building],0)),"")</f>
        <v/>
      </c>
      <c r="AK106" s="99">
        <f>IFERROR(IslandModel[[#This Row],[Quantity]]*INDEX(Production[Production in 1h],MATCH(IslandModel[[#This Row],[Building]],Production[Building],0))*IslandModel[[#This Row],[Input Consumption Multiplier]],0)</f>
        <v>0</v>
      </c>
      <c r="AL106" s="115">
        <f>100%</f>
        <v>1</v>
      </c>
      <c r="AM106"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06" s="77" t="str">
        <f>IFERROR(INDEX(Production[Input 1],MATCH(IslandModel[[#This Row],[Building]],Production[Building],0)),"")</f>
        <v/>
      </c>
      <c r="AO106" s="78"/>
      <c r="AP106"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06"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06"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06" s="35" t="str">
        <f>IFERROR(INDEX(Production[Input 2],MATCH(IslandModel[[#This Row],[Building]],Production[Building],0)),"")</f>
        <v/>
      </c>
      <c r="AT106" s="78"/>
      <c r="AU106"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06"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06"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06" s="35" t="str">
        <f>IFERROR(INDEX(Production[Input 3],MATCH(IslandModel[[#This Row],[Building]],Production[Building],0)),"")</f>
        <v/>
      </c>
      <c r="AY106" s="78"/>
      <c r="AZ106"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06"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06"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06" s="35" t="str">
        <f>IFERROR(INDEX(Production[Input 4],MATCH(IslandModel[[#This Row],[Building]],Production[Building],0)),"")</f>
        <v/>
      </c>
      <c r="BD106" s="78"/>
      <c r="BE106"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06"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06"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06" s="35" t="str">
        <f>IFERROR(INDEX(Production[Input 5],MATCH(IslandModel[[#This Row],[Building]],Production[Building],0)),"")</f>
        <v/>
      </c>
      <c r="BI106" s="78"/>
      <c r="BJ106"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06"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06"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06" s="35" t="str">
        <f>IFERROR(INDEX(Production[Input 6],MATCH(IslandModel[[#This Row],[Building]],Production[Building],0)),"")</f>
        <v/>
      </c>
      <c r="BN106" s="78"/>
      <c r="BO106"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06"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06"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06" s="35" t="str">
        <f>IFERROR(INDEX(Production[Input 7],MATCH(IslandModel[[#This Row],[Building]],Production[Building],0)),"")</f>
        <v/>
      </c>
      <c r="BS106" s="78"/>
      <c r="BT106"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06"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06"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06" s="35" t="str">
        <f>IFERROR(INDEX(Production[Input 8],MATCH(IslandModel[[#This Row],[Building]],Production[Building],0)),"")</f>
        <v/>
      </c>
      <c r="BX106" s="78"/>
      <c r="BY106"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06"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06"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06" s="35" t="str">
        <f>IFERROR(INDEX(Production[Input 9],MATCH(IslandModel[[#This Row],[Building]],Production[Building],0)),"")</f>
        <v/>
      </c>
      <c r="CC106" s="78"/>
      <c r="CD106"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06"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06"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06" s="35" t="str">
        <f>IFERROR(INDEX(Production[Input 10],MATCH(IslandModel[[#This Row],[Building]],Production[Building],0)),"")</f>
        <v/>
      </c>
      <c r="CH106" s="78"/>
      <c r="CI106"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06"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06"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06"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06" s="82" t="str">
        <f>IslandModel[[#This Row],[Resource Produced]]</f>
        <v/>
      </c>
      <c r="CN106" s="42">
        <f>IslandModel[[#This Row],[Amount produced/h]]</f>
        <v>0</v>
      </c>
      <c r="CO106" s="42" t="str">
        <f>IslandModel[[#This Row],[Input 1]]</f>
        <v/>
      </c>
      <c r="CP106" s="42">
        <f>-IslandModel[[#This Row],[Input 1 Consumed]]</f>
        <v>0</v>
      </c>
      <c r="CQ106" s="42" t="str">
        <f>IslandModel[[#This Row],[Input 2]]</f>
        <v/>
      </c>
      <c r="CR106" s="42">
        <f>-IslandModel[[#This Row],[Input 2 Consumed]]</f>
        <v>0</v>
      </c>
      <c r="CS106" s="42" t="str">
        <f>IslandModel[[#This Row],[Input 3]]</f>
        <v/>
      </c>
      <c r="CT106" s="42">
        <f>-IslandModel[[#This Row],[Input 3 Consumed]]</f>
        <v>0</v>
      </c>
      <c r="CU106" s="42" t="str">
        <f>IslandModel[[#This Row],[Input 4]]</f>
        <v/>
      </c>
      <c r="CV106" s="42">
        <f>-IslandModel[[#This Row],[Input 4 Consumed]]</f>
        <v>0</v>
      </c>
      <c r="CW106" s="42" t="str">
        <f>IslandModel[[#This Row],[Input 5]]</f>
        <v/>
      </c>
      <c r="CX106" s="42">
        <f>-IslandModel[[#This Row],[Input 5 Consumed]]</f>
        <v>0</v>
      </c>
      <c r="CY106" s="42" t="str">
        <f>IslandModel[[#This Row],[Input 6]]</f>
        <v/>
      </c>
      <c r="CZ106" s="42">
        <f>-IslandModel[[#This Row],[Input 6 Consumed]]</f>
        <v>0</v>
      </c>
      <c r="DA106" s="42" t="str">
        <f>IslandModel[[#This Row],[Input 7]]</f>
        <v/>
      </c>
      <c r="DB106" s="42">
        <f>-IslandModel[[#This Row],[Input 7 Consumed]]</f>
        <v>0</v>
      </c>
      <c r="DC106" s="42" t="str">
        <f>IslandModel[[#This Row],[Input 8]]</f>
        <v/>
      </c>
      <c r="DD106" s="42">
        <f>-IslandModel[[#This Row],[Input 8 Consumed]]</f>
        <v>0</v>
      </c>
      <c r="DE106" s="42" t="str">
        <f>IslandModel[[#This Row],[Input 9]]</f>
        <v/>
      </c>
      <c r="DF106" s="42">
        <f>-IslandModel[[#This Row],[Input 9 Consumed]]</f>
        <v>0</v>
      </c>
      <c r="DG106" s="42" t="str">
        <f>IslandModel[[#This Row],[Input 10]]</f>
        <v/>
      </c>
      <c r="DH106" s="42">
        <f>-IslandModel[[#This Row],[Input 10 Consumed]]</f>
        <v>0</v>
      </c>
      <c r="DJ106" s="69" t="s">
        <v>369</v>
      </c>
      <c r="DK106" s="39">
        <f>SUM(SUMIFS(IslandModel[Resource 1 Qty],IslandModel[Resource 1],ResourceAvailable[[#This Row],[Resource]]))</f>
        <v>0</v>
      </c>
      <c r="DL106"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06" s="39">
        <f>ResourceAvailable[[#This Row],[Amount Produced]]-ResourceAvailable[[#This Row],[Amount Consumed]]</f>
        <v>0</v>
      </c>
      <c r="DN106" s="20">
        <f>MAX(0,ResourceAvailable[[#This Row],[Amount Available for Resident Consumption]]-SUMIFS(ConsumptionModel[Resource Demand],ConsumptionModel[Resource],ResourceAvailable[[#This Row],[Resource]]))</f>
        <v>0</v>
      </c>
    </row>
    <row r="107" spans="30:118" ht="21" x14ac:dyDescent="0.65">
      <c r="AD107" s="83">
        <f>ROW()</f>
        <v>107</v>
      </c>
      <c r="AE107" s="106"/>
      <c r="AF107" s="72"/>
      <c r="AG107" s="18"/>
      <c r="AH107" s="18"/>
      <c r="AI107" s="156">
        <f>IFERROR(IslandModel[[#This Row],[Quantity]]/IslandModel[[#This Row],[Target Quantity]],0)</f>
        <v>0</v>
      </c>
      <c r="AJ107" s="61" t="str">
        <f>IFERROR(INDEX(Production[Resource Produced],MATCH(IslandModel[[#This Row],[Building]],Production[Building],0)),"")</f>
        <v/>
      </c>
      <c r="AK107" s="99">
        <f>IFERROR(IslandModel[[#This Row],[Quantity]]*INDEX(Production[Production in 1h],MATCH(IslandModel[[#This Row],[Building]],Production[Building],0))*IslandModel[[#This Row],[Input Consumption Multiplier]],0)</f>
        <v>0</v>
      </c>
      <c r="AL107" s="115">
        <f>100%</f>
        <v>1</v>
      </c>
      <c r="AM107"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07" s="77" t="str">
        <f>IFERROR(INDEX(Production[Input 1],MATCH(IslandModel[[#This Row],[Building]],Production[Building],0)),"")</f>
        <v/>
      </c>
      <c r="AO107" s="78"/>
      <c r="AP107"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07"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07"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07" s="35" t="str">
        <f>IFERROR(INDEX(Production[Input 2],MATCH(IslandModel[[#This Row],[Building]],Production[Building],0)),"")</f>
        <v/>
      </c>
      <c r="AT107" s="78"/>
      <c r="AU107"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07"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07"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07" s="35" t="str">
        <f>IFERROR(INDEX(Production[Input 3],MATCH(IslandModel[[#This Row],[Building]],Production[Building],0)),"")</f>
        <v/>
      </c>
      <c r="AY107" s="78"/>
      <c r="AZ107"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07"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07"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07" s="35" t="str">
        <f>IFERROR(INDEX(Production[Input 4],MATCH(IslandModel[[#This Row],[Building]],Production[Building],0)),"")</f>
        <v/>
      </c>
      <c r="BD107" s="78"/>
      <c r="BE107"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07"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07"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07" s="35" t="str">
        <f>IFERROR(INDEX(Production[Input 5],MATCH(IslandModel[[#This Row],[Building]],Production[Building],0)),"")</f>
        <v/>
      </c>
      <c r="BI107" s="78"/>
      <c r="BJ107"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07"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07"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07" s="35" t="str">
        <f>IFERROR(INDEX(Production[Input 6],MATCH(IslandModel[[#This Row],[Building]],Production[Building],0)),"")</f>
        <v/>
      </c>
      <c r="BN107" s="78"/>
      <c r="BO107"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07"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07"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07" s="35" t="str">
        <f>IFERROR(INDEX(Production[Input 7],MATCH(IslandModel[[#This Row],[Building]],Production[Building],0)),"")</f>
        <v/>
      </c>
      <c r="BS107" s="78"/>
      <c r="BT107"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07"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07"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07" s="35" t="str">
        <f>IFERROR(INDEX(Production[Input 8],MATCH(IslandModel[[#This Row],[Building]],Production[Building],0)),"")</f>
        <v/>
      </c>
      <c r="BX107" s="78"/>
      <c r="BY107"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07"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07"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07" s="35" t="str">
        <f>IFERROR(INDEX(Production[Input 9],MATCH(IslandModel[[#This Row],[Building]],Production[Building],0)),"")</f>
        <v/>
      </c>
      <c r="CC107" s="78"/>
      <c r="CD107"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07"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07"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07" s="35" t="str">
        <f>IFERROR(INDEX(Production[Input 10],MATCH(IslandModel[[#This Row],[Building]],Production[Building],0)),"")</f>
        <v/>
      </c>
      <c r="CH107" s="78"/>
      <c r="CI107"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07"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07"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07"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07" s="82" t="str">
        <f>IslandModel[[#This Row],[Resource Produced]]</f>
        <v/>
      </c>
      <c r="CN107" s="42">
        <f>IslandModel[[#This Row],[Amount produced/h]]</f>
        <v>0</v>
      </c>
      <c r="CO107" s="42" t="str">
        <f>IslandModel[[#This Row],[Input 1]]</f>
        <v/>
      </c>
      <c r="CP107" s="42">
        <f>-IslandModel[[#This Row],[Input 1 Consumed]]</f>
        <v>0</v>
      </c>
      <c r="CQ107" s="42" t="str">
        <f>IslandModel[[#This Row],[Input 2]]</f>
        <v/>
      </c>
      <c r="CR107" s="42">
        <f>-IslandModel[[#This Row],[Input 2 Consumed]]</f>
        <v>0</v>
      </c>
      <c r="CS107" s="42" t="str">
        <f>IslandModel[[#This Row],[Input 3]]</f>
        <v/>
      </c>
      <c r="CT107" s="42">
        <f>-IslandModel[[#This Row],[Input 3 Consumed]]</f>
        <v>0</v>
      </c>
      <c r="CU107" s="42" t="str">
        <f>IslandModel[[#This Row],[Input 4]]</f>
        <v/>
      </c>
      <c r="CV107" s="42">
        <f>-IslandModel[[#This Row],[Input 4 Consumed]]</f>
        <v>0</v>
      </c>
      <c r="CW107" s="42" t="str">
        <f>IslandModel[[#This Row],[Input 5]]</f>
        <v/>
      </c>
      <c r="CX107" s="42">
        <f>-IslandModel[[#This Row],[Input 5 Consumed]]</f>
        <v>0</v>
      </c>
      <c r="CY107" s="42" t="str">
        <f>IslandModel[[#This Row],[Input 6]]</f>
        <v/>
      </c>
      <c r="CZ107" s="42">
        <f>-IslandModel[[#This Row],[Input 6 Consumed]]</f>
        <v>0</v>
      </c>
      <c r="DA107" s="42" t="str">
        <f>IslandModel[[#This Row],[Input 7]]</f>
        <v/>
      </c>
      <c r="DB107" s="42">
        <f>-IslandModel[[#This Row],[Input 7 Consumed]]</f>
        <v>0</v>
      </c>
      <c r="DC107" s="42" t="str">
        <f>IslandModel[[#This Row],[Input 8]]</f>
        <v/>
      </c>
      <c r="DD107" s="42">
        <f>-IslandModel[[#This Row],[Input 8 Consumed]]</f>
        <v>0</v>
      </c>
      <c r="DE107" s="42" t="str">
        <f>IslandModel[[#This Row],[Input 9]]</f>
        <v/>
      </c>
      <c r="DF107" s="42">
        <f>-IslandModel[[#This Row],[Input 9 Consumed]]</f>
        <v>0</v>
      </c>
      <c r="DG107" s="42" t="str">
        <f>IslandModel[[#This Row],[Input 10]]</f>
        <v/>
      </c>
      <c r="DH107" s="42">
        <f>-IslandModel[[#This Row],[Input 10 Consumed]]</f>
        <v>0</v>
      </c>
      <c r="DJ107" s="69" t="s">
        <v>370</v>
      </c>
      <c r="DK107" s="39">
        <f>SUM(SUMIFS(IslandModel[Resource 1 Qty],IslandModel[Resource 1],ResourceAvailable[[#This Row],[Resource]]))</f>
        <v>0</v>
      </c>
      <c r="DL107"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07" s="39">
        <f>ResourceAvailable[[#This Row],[Amount Produced]]-ResourceAvailable[[#This Row],[Amount Consumed]]</f>
        <v>0</v>
      </c>
      <c r="DN107" s="20">
        <f>MAX(0,ResourceAvailable[[#This Row],[Amount Available for Resident Consumption]]-SUMIFS(ConsumptionModel[Resource Demand],ConsumptionModel[Resource],ResourceAvailable[[#This Row],[Resource]]))</f>
        <v>0</v>
      </c>
    </row>
    <row r="108" spans="30:118" ht="21" x14ac:dyDescent="0.65">
      <c r="AD108" s="83">
        <f>ROW()</f>
        <v>108</v>
      </c>
      <c r="AE108" s="106"/>
      <c r="AF108" s="72"/>
      <c r="AG108" s="18"/>
      <c r="AH108" s="18"/>
      <c r="AI108" s="156">
        <f>IFERROR(IslandModel[[#This Row],[Quantity]]/IslandModel[[#This Row],[Target Quantity]],0)</f>
        <v>0</v>
      </c>
      <c r="AJ108" s="61" t="str">
        <f>IFERROR(INDEX(Production[Resource Produced],MATCH(IslandModel[[#This Row],[Building]],Production[Building],0)),"")</f>
        <v/>
      </c>
      <c r="AK108" s="99">
        <f>IFERROR(IslandModel[[#This Row],[Quantity]]*INDEX(Production[Production in 1h],MATCH(IslandModel[[#This Row],[Building]],Production[Building],0))*IslandModel[[#This Row],[Input Consumption Multiplier]],0)</f>
        <v>0</v>
      </c>
      <c r="AL108" s="115">
        <f>100%</f>
        <v>1</v>
      </c>
      <c r="AM108"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08" s="77" t="str">
        <f>IFERROR(INDEX(Production[Input 1],MATCH(IslandModel[[#This Row],[Building]],Production[Building],0)),"")</f>
        <v/>
      </c>
      <c r="AO108" s="78"/>
      <c r="AP108"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08"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08"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08" s="35" t="str">
        <f>IFERROR(INDEX(Production[Input 2],MATCH(IslandModel[[#This Row],[Building]],Production[Building],0)),"")</f>
        <v/>
      </c>
      <c r="AT108" s="78"/>
      <c r="AU108"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08"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08"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08" s="35" t="str">
        <f>IFERROR(INDEX(Production[Input 3],MATCH(IslandModel[[#This Row],[Building]],Production[Building],0)),"")</f>
        <v/>
      </c>
      <c r="AY108" s="78"/>
      <c r="AZ108"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08"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08"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08" s="35" t="str">
        <f>IFERROR(INDEX(Production[Input 4],MATCH(IslandModel[[#This Row],[Building]],Production[Building],0)),"")</f>
        <v/>
      </c>
      <c r="BD108" s="78"/>
      <c r="BE108"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08"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08"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08" s="35" t="str">
        <f>IFERROR(INDEX(Production[Input 5],MATCH(IslandModel[[#This Row],[Building]],Production[Building],0)),"")</f>
        <v/>
      </c>
      <c r="BI108" s="78"/>
      <c r="BJ108"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08"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08"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08" s="35" t="str">
        <f>IFERROR(INDEX(Production[Input 6],MATCH(IslandModel[[#This Row],[Building]],Production[Building],0)),"")</f>
        <v/>
      </c>
      <c r="BN108" s="78"/>
      <c r="BO108"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08"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08"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08" s="35" t="str">
        <f>IFERROR(INDEX(Production[Input 7],MATCH(IslandModel[[#This Row],[Building]],Production[Building],0)),"")</f>
        <v/>
      </c>
      <c r="BS108" s="78"/>
      <c r="BT108"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08"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08"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08" s="35" t="str">
        <f>IFERROR(INDEX(Production[Input 8],MATCH(IslandModel[[#This Row],[Building]],Production[Building],0)),"")</f>
        <v/>
      </c>
      <c r="BX108" s="78"/>
      <c r="BY108"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08"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08"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08" s="35" t="str">
        <f>IFERROR(INDEX(Production[Input 9],MATCH(IslandModel[[#This Row],[Building]],Production[Building],0)),"")</f>
        <v/>
      </c>
      <c r="CC108" s="78"/>
      <c r="CD108"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08"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08"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08" s="35" t="str">
        <f>IFERROR(INDEX(Production[Input 10],MATCH(IslandModel[[#This Row],[Building]],Production[Building],0)),"")</f>
        <v/>
      </c>
      <c r="CH108" s="78"/>
      <c r="CI108"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08"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08"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08"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08" s="82" t="str">
        <f>IslandModel[[#This Row],[Resource Produced]]</f>
        <v/>
      </c>
      <c r="CN108" s="42">
        <f>IslandModel[[#This Row],[Amount produced/h]]</f>
        <v>0</v>
      </c>
      <c r="CO108" s="42" t="str">
        <f>IslandModel[[#This Row],[Input 1]]</f>
        <v/>
      </c>
      <c r="CP108" s="42">
        <f>-IslandModel[[#This Row],[Input 1 Consumed]]</f>
        <v>0</v>
      </c>
      <c r="CQ108" s="42" t="str">
        <f>IslandModel[[#This Row],[Input 2]]</f>
        <v/>
      </c>
      <c r="CR108" s="42">
        <f>-IslandModel[[#This Row],[Input 2 Consumed]]</f>
        <v>0</v>
      </c>
      <c r="CS108" s="42" t="str">
        <f>IslandModel[[#This Row],[Input 3]]</f>
        <v/>
      </c>
      <c r="CT108" s="42">
        <f>-IslandModel[[#This Row],[Input 3 Consumed]]</f>
        <v>0</v>
      </c>
      <c r="CU108" s="42" t="str">
        <f>IslandModel[[#This Row],[Input 4]]</f>
        <v/>
      </c>
      <c r="CV108" s="42">
        <f>-IslandModel[[#This Row],[Input 4 Consumed]]</f>
        <v>0</v>
      </c>
      <c r="CW108" s="42" t="str">
        <f>IslandModel[[#This Row],[Input 5]]</f>
        <v/>
      </c>
      <c r="CX108" s="42">
        <f>-IslandModel[[#This Row],[Input 5 Consumed]]</f>
        <v>0</v>
      </c>
      <c r="CY108" s="42" t="str">
        <f>IslandModel[[#This Row],[Input 6]]</f>
        <v/>
      </c>
      <c r="CZ108" s="42">
        <f>-IslandModel[[#This Row],[Input 6 Consumed]]</f>
        <v>0</v>
      </c>
      <c r="DA108" s="42" t="str">
        <f>IslandModel[[#This Row],[Input 7]]</f>
        <v/>
      </c>
      <c r="DB108" s="42">
        <f>-IslandModel[[#This Row],[Input 7 Consumed]]</f>
        <v>0</v>
      </c>
      <c r="DC108" s="42" t="str">
        <f>IslandModel[[#This Row],[Input 8]]</f>
        <v/>
      </c>
      <c r="DD108" s="42">
        <f>-IslandModel[[#This Row],[Input 8 Consumed]]</f>
        <v>0</v>
      </c>
      <c r="DE108" s="42" t="str">
        <f>IslandModel[[#This Row],[Input 9]]</f>
        <v/>
      </c>
      <c r="DF108" s="42">
        <f>-IslandModel[[#This Row],[Input 9 Consumed]]</f>
        <v>0</v>
      </c>
      <c r="DG108" s="42" t="str">
        <f>IslandModel[[#This Row],[Input 10]]</f>
        <v/>
      </c>
      <c r="DH108" s="42">
        <f>-IslandModel[[#This Row],[Input 10 Consumed]]</f>
        <v>0</v>
      </c>
      <c r="DJ108" s="69" t="s">
        <v>87</v>
      </c>
      <c r="DK108" s="39">
        <f>SUM(SUMIFS(IslandModel[Resource 1 Qty],IslandModel[Resource 1],ResourceAvailable[[#This Row],[Resource]]))</f>
        <v>0</v>
      </c>
      <c r="DL108"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08" s="39">
        <f>ResourceAvailable[[#This Row],[Amount Produced]]-ResourceAvailable[[#This Row],[Amount Consumed]]</f>
        <v>0</v>
      </c>
      <c r="DN108" s="20">
        <f>MAX(0,ResourceAvailable[[#This Row],[Amount Available for Resident Consumption]]-SUMIFS(ConsumptionModel[Resource Demand],ConsumptionModel[Resource],ResourceAvailable[[#This Row],[Resource]]))</f>
        <v>0</v>
      </c>
    </row>
    <row r="109" spans="30:118" ht="21" x14ac:dyDescent="0.65">
      <c r="AD109" s="83">
        <f>ROW()</f>
        <v>109</v>
      </c>
      <c r="AE109" s="106"/>
      <c r="AF109" s="72"/>
      <c r="AG109" s="18"/>
      <c r="AH109" s="18"/>
      <c r="AI109" s="156">
        <f>IFERROR(IslandModel[[#This Row],[Quantity]]/IslandModel[[#This Row],[Target Quantity]],0)</f>
        <v>0</v>
      </c>
      <c r="AJ109" s="61" t="str">
        <f>IFERROR(INDEX(Production[Resource Produced],MATCH(IslandModel[[#This Row],[Building]],Production[Building],0)),"")</f>
        <v/>
      </c>
      <c r="AK109" s="99">
        <f>IFERROR(IslandModel[[#This Row],[Quantity]]*INDEX(Production[Production in 1h],MATCH(IslandModel[[#This Row],[Building]],Production[Building],0))*IslandModel[[#This Row],[Input Consumption Multiplier]],0)</f>
        <v>0</v>
      </c>
      <c r="AL109" s="115">
        <f>100%</f>
        <v>1</v>
      </c>
      <c r="AM109"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09" s="77" t="str">
        <f>IFERROR(INDEX(Production[Input 1],MATCH(IslandModel[[#This Row],[Building]],Production[Building],0)),"")</f>
        <v/>
      </c>
      <c r="AO109" s="78"/>
      <c r="AP109"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09"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09"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09" s="35" t="str">
        <f>IFERROR(INDEX(Production[Input 2],MATCH(IslandModel[[#This Row],[Building]],Production[Building],0)),"")</f>
        <v/>
      </c>
      <c r="AT109" s="78"/>
      <c r="AU109"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09"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09"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09" s="35" t="str">
        <f>IFERROR(INDEX(Production[Input 3],MATCH(IslandModel[[#This Row],[Building]],Production[Building],0)),"")</f>
        <v/>
      </c>
      <c r="AY109" s="78"/>
      <c r="AZ109"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09"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09"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09" s="35" t="str">
        <f>IFERROR(INDEX(Production[Input 4],MATCH(IslandModel[[#This Row],[Building]],Production[Building],0)),"")</f>
        <v/>
      </c>
      <c r="BD109" s="78"/>
      <c r="BE109"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09"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09"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09" s="35" t="str">
        <f>IFERROR(INDEX(Production[Input 5],MATCH(IslandModel[[#This Row],[Building]],Production[Building],0)),"")</f>
        <v/>
      </c>
      <c r="BI109" s="78"/>
      <c r="BJ109"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09"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09"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09" s="35" t="str">
        <f>IFERROR(INDEX(Production[Input 6],MATCH(IslandModel[[#This Row],[Building]],Production[Building],0)),"")</f>
        <v/>
      </c>
      <c r="BN109" s="78"/>
      <c r="BO109"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09"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09"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09" s="35" t="str">
        <f>IFERROR(INDEX(Production[Input 7],MATCH(IslandModel[[#This Row],[Building]],Production[Building],0)),"")</f>
        <v/>
      </c>
      <c r="BS109" s="78"/>
      <c r="BT109"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09"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09"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09" s="35" t="str">
        <f>IFERROR(INDEX(Production[Input 8],MATCH(IslandModel[[#This Row],[Building]],Production[Building],0)),"")</f>
        <v/>
      </c>
      <c r="BX109" s="78"/>
      <c r="BY109"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09"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09"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09" s="35" t="str">
        <f>IFERROR(INDEX(Production[Input 9],MATCH(IslandModel[[#This Row],[Building]],Production[Building],0)),"")</f>
        <v/>
      </c>
      <c r="CC109" s="78"/>
      <c r="CD109"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09"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09"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09" s="35" t="str">
        <f>IFERROR(INDEX(Production[Input 10],MATCH(IslandModel[[#This Row],[Building]],Production[Building],0)),"")</f>
        <v/>
      </c>
      <c r="CH109" s="78"/>
      <c r="CI109"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09"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09"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09"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09" s="82" t="str">
        <f>IslandModel[[#This Row],[Resource Produced]]</f>
        <v/>
      </c>
      <c r="CN109" s="42">
        <f>IslandModel[[#This Row],[Amount produced/h]]</f>
        <v>0</v>
      </c>
      <c r="CO109" s="42" t="str">
        <f>IslandModel[[#This Row],[Input 1]]</f>
        <v/>
      </c>
      <c r="CP109" s="42">
        <f>-IslandModel[[#This Row],[Input 1 Consumed]]</f>
        <v>0</v>
      </c>
      <c r="CQ109" s="42" t="str">
        <f>IslandModel[[#This Row],[Input 2]]</f>
        <v/>
      </c>
      <c r="CR109" s="42">
        <f>-IslandModel[[#This Row],[Input 2 Consumed]]</f>
        <v>0</v>
      </c>
      <c r="CS109" s="42" t="str">
        <f>IslandModel[[#This Row],[Input 3]]</f>
        <v/>
      </c>
      <c r="CT109" s="42">
        <f>-IslandModel[[#This Row],[Input 3 Consumed]]</f>
        <v>0</v>
      </c>
      <c r="CU109" s="42" t="str">
        <f>IslandModel[[#This Row],[Input 4]]</f>
        <v/>
      </c>
      <c r="CV109" s="42">
        <f>-IslandModel[[#This Row],[Input 4 Consumed]]</f>
        <v>0</v>
      </c>
      <c r="CW109" s="42" t="str">
        <f>IslandModel[[#This Row],[Input 5]]</f>
        <v/>
      </c>
      <c r="CX109" s="42">
        <f>-IslandModel[[#This Row],[Input 5 Consumed]]</f>
        <v>0</v>
      </c>
      <c r="CY109" s="42" t="str">
        <f>IslandModel[[#This Row],[Input 6]]</f>
        <v/>
      </c>
      <c r="CZ109" s="42">
        <f>-IslandModel[[#This Row],[Input 6 Consumed]]</f>
        <v>0</v>
      </c>
      <c r="DA109" s="42" t="str">
        <f>IslandModel[[#This Row],[Input 7]]</f>
        <v/>
      </c>
      <c r="DB109" s="42">
        <f>-IslandModel[[#This Row],[Input 7 Consumed]]</f>
        <v>0</v>
      </c>
      <c r="DC109" s="42" t="str">
        <f>IslandModel[[#This Row],[Input 8]]</f>
        <v/>
      </c>
      <c r="DD109" s="42">
        <f>-IslandModel[[#This Row],[Input 8 Consumed]]</f>
        <v>0</v>
      </c>
      <c r="DE109" s="42" t="str">
        <f>IslandModel[[#This Row],[Input 9]]</f>
        <v/>
      </c>
      <c r="DF109" s="42">
        <f>-IslandModel[[#This Row],[Input 9 Consumed]]</f>
        <v>0</v>
      </c>
      <c r="DG109" s="42" t="str">
        <f>IslandModel[[#This Row],[Input 10]]</f>
        <v/>
      </c>
      <c r="DH109" s="42">
        <f>-IslandModel[[#This Row],[Input 10 Consumed]]</f>
        <v>0</v>
      </c>
      <c r="DJ109" s="69" t="s">
        <v>89</v>
      </c>
      <c r="DK109" s="39">
        <f>SUM(SUMIFS(IslandModel[Resource 1 Qty],IslandModel[Resource 1],ResourceAvailable[[#This Row],[Resource]]))</f>
        <v>0</v>
      </c>
      <c r="DL109"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09" s="39">
        <f>ResourceAvailable[[#This Row],[Amount Produced]]-ResourceAvailable[[#This Row],[Amount Consumed]]</f>
        <v>0</v>
      </c>
      <c r="DN109" s="20">
        <f>MAX(0,ResourceAvailable[[#This Row],[Amount Available for Resident Consumption]]-SUMIFS(ConsumptionModel[Resource Demand],ConsumptionModel[Resource],ResourceAvailable[[#This Row],[Resource]]))</f>
        <v>0</v>
      </c>
    </row>
    <row r="110" spans="30:118" ht="21" x14ac:dyDescent="0.65">
      <c r="AD110" s="83">
        <f>ROW()</f>
        <v>110</v>
      </c>
      <c r="AE110" s="106"/>
      <c r="AF110" s="72"/>
      <c r="AG110" s="18"/>
      <c r="AH110" s="18"/>
      <c r="AI110" s="156">
        <f>IFERROR(IslandModel[[#This Row],[Quantity]]/IslandModel[[#This Row],[Target Quantity]],0)</f>
        <v>0</v>
      </c>
      <c r="AJ110" s="61" t="str">
        <f>IFERROR(INDEX(Production[Resource Produced],MATCH(IslandModel[[#This Row],[Building]],Production[Building],0)),"")</f>
        <v/>
      </c>
      <c r="AK110" s="99">
        <f>IFERROR(IslandModel[[#This Row],[Quantity]]*INDEX(Production[Production in 1h],MATCH(IslandModel[[#This Row],[Building]],Production[Building],0))*IslandModel[[#This Row],[Input Consumption Multiplier]],0)</f>
        <v>0</v>
      </c>
      <c r="AL110" s="115">
        <f>100%</f>
        <v>1</v>
      </c>
      <c r="AM110"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10" s="77" t="str">
        <f>IFERROR(INDEX(Production[Input 1],MATCH(IslandModel[[#This Row],[Building]],Production[Building],0)),"")</f>
        <v/>
      </c>
      <c r="AO110" s="78"/>
      <c r="AP110"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10"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10"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10" s="35" t="str">
        <f>IFERROR(INDEX(Production[Input 2],MATCH(IslandModel[[#This Row],[Building]],Production[Building],0)),"")</f>
        <v/>
      </c>
      <c r="AT110" s="78"/>
      <c r="AU110"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10"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10"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10" s="35" t="str">
        <f>IFERROR(INDEX(Production[Input 3],MATCH(IslandModel[[#This Row],[Building]],Production[Building],0)),"")</f>
        <v/>
      </c>
      <c r="AY110" s="78"/>
      <c r="AZ110"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10"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10"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10" s="35" t="str">
        <f>IFERROR(INDEX(Production[Input 4],MATCH(IslandModel[[#This Row],[Building]],Production[Building],0)),"")</f>
        <v/>
      </c>
      <c r="BD110" s="78"/>
      <c r="BE110"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10"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10"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10" s="35" t="str">
        <f>IFERROR(INDEX(Production[Input 5],MATCH(IslandModel[[#This Row],[Building]],Production[Building],0)),"")</f>
        <v/>
      </c>
      <c r="BI110" s="78"/>
      <c r="BJ110"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10"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10"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10" s="35" t="str">
        <f>IFERROR(INDEX(Production[Input 6],MATCH(IslandModel[[#This Row],[Building]],Production[Building],0)),"")</f>
        <v/>
      </c>
      <c r="BN110" s="78"/>
      <c r="BO110"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10"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10"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10" s="35" t="str">
        <f>IFERROR(INDEX(Production[Input 7],MATCH(IslandModel[[#This Row],[Building]],Production[Building],0)),"")</f>
        <v/>
      </c>
      <c r="BS110" s="78"/>
      <c r="BT110"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10"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10"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10" s="35" t="str">
        <f>IFERROR(INDEX(Production[Input 8],MATCH(IslandModel[[#This Row],[Building]],Production[Building],0)),"")</f>
        <v/>
      </c>
      <c r="BX110" s="78"/>
      <c r="BY110"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10"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10"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10" s="35" t="str">
        <f>IFERROR(INDEX(Production[Input 9],MATCH(IslandModel[[#This Row],[Building]],Production[Building],0)),"")</f>
        <v/>
      </c>
      <c r="CC110" s="78"/>
      <c r="CD110"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10"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10"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10" s="35" t="str">
        <f>IFERROR(INDEX(Production[Input 10],MATCH(IslandModel[[#This Row],[Building]],Production[Building],0)),"")</f>
        <v/>
      </c>
      <c r="CH110" s="78"/>
      <c r="CI110"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10"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10"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10"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10" s="82" t="str">
        <f>IslandModel[[#This Row],[Resource Produced]]</f>
        <v/>
      </c>
      <c r="CN110" s="42">
        <f>IslandModel[[#This Row],[Amount produced/h]]</f>
        <v>0</v>
      </c>
      <c r="CO110" s="42" t="str">
        <f>IslandModel[[#This Row],[Input 1]]</f>
        <v/>
      </c>
      <c r="CP110" s="42">
        <f>-IslandModel[[#This Row],[Input 1 Consumed]]</f>
        <v>0</v>
      </c>
      <c r="CQ110" s="42" t="str">
        <f>IslandModel[[#This Row],[Input 2]]</f>
        <v/>
      </c>
      <c r="CR110" s="42">
        <f>-IslandModel[[#This Row],[Input 2 Consumed]]</f>
        <v>0</v>
      </c>
      <c r="CS110" s="42" t="str">
        <f>IslandModel[[#This Row],[Input 3]]</f>
        <v/>
      </c>
      <c r="CT110" s="42">
        <f>-IslandModel[[#This Row],[Input 3 Consumed]]</f>
        <v>0</v>
      </c>
      <c r="CU110" s="42" t="str">
        <f>IslandModel[[#This Row],[Input 4]]</f>
        <v/>
      </c>
      <c r="CV110" s="42">
        <f>-IslandModel[[#This Row],[Input 4 Consumed]]</f>
        <v>0</v>
      </c>
      <c r="CW110" s="42" t="str">
        <f>IslandModel[[#This Row],[Input 5]]</f>
        <v/>
      </c>
      <c r="CX110" s="42">
        <f>-IslandModel[[#This Row],[Input 5 Consumed]]</f>
        <v>0</v>
      </c>
      <c r="CY110" s="42" t="str">
        <f>IslandModel[[#This Row],[Input 6]]</f>
        <v/>
      </c>
      <c r="CZ110" s="42">
        <f>-IslandModel[[#This Row],[Input 6 Consumed]]</f>
        <v>0</v>
      </c>
      <c r="DA110" s="42" t="str">
        <f>IslandModel[[#This Row],[Input 7]]</f>
        <v/>
      </c>
      <c r="DB110" s="42">
        <f>-IslandModel[[#This Row],[Input 7 Consumed]]</f>
        <v>0</v>
      </c>
      <c r="DC110" s="42" t="str">
        <f>IslandModel[[#This Row],[Input 8]]</f>
        <v/>
      </c>
      <c r="DD110" s="42">
        <f>-IslandModel[[#This Row],[Input 8 Consumed]]</f>
        <v>0</v>
      </c>
      <c r="DE110" s="42" t="str">
        <f>IslandModel[[#This Row],[Input 9]]</f>
        <v/>
      </c>
      <c r="DF110" s="42">
        <f>-IslandModel[[#This Row],[Input 9 Consumed]]</f>
        <v>0</v>
      </c>
      <c r="DG110" s="42" t="str">
        <f>IslandModel[[#This Row],[Input 10]]</f>
        <v/>
      </c>
      <c r="DH110" s="42">
        <f>-IslandModel[[#This Row],[Input 10 Consumed]]</f>
        <v>0</v>
      </c>
      <c r="DJ110" s="69" t="s">
        <v>113</v>
      </c>
      <c r="DK110" s="39">
        <f>SUM(SUMIFS(IslandModel[Resource 1 Qty],IslandModel[Resource 1],ResourceAvailable[[#This Row],[Resource]]))</f>
        <v>0</v>
      </c>
      <c r="DL110"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10" s="39">
        <f>ResourceAvailable[[#This Row],[Amount Produced]]-ResourceAvailable[[#This Row],[Amount Consumed]]</f>
        <v>0</v>
      </c>
      <c r="DN110" s="20">
        <f>MAX(0,ResourceAvailable[[#This Row],[Amount Available for Resident Consumption]]-SUMIFS(ConsumptionModel[Resource Demand],ConsumptionModel[Resource],ResourceAvailable[[#This Row],[Resource]]))</f>
        <v>0</v>
      </c>
    </row>
    <row r="111" spans="30:118" ht="21" x14ac:dyDescent="0.65">
      <c r="AD111" s="83">
        <f>ROW()</f>
        <v>111</v>
      </c>
      <c r="AE111" s="106"/>
      <c r="AF111" s="72"/>
      <c r="AG111" s="18"/>
      <c r="AH111" s="18"/>
      <c r="AI111" s="156">
        <f>IFERROR(IslandModel[[#This Row],[Quantity]]/IslandModel[[#This Row],[Target Quantity]],0)</f>
        <v>0</v>
      </c>
      <c r="AJ111" s="61" t="str">
        <f>IFERROR(INDEX(Production[Resource Produced],MATCH(IslandModel[[#This Row],[Building]],Production[Building],0)),"")</f>
        <v/>
      </c>
      <c r="AK111" s="99">
        <f>IFERROR(IslandModel[[#This Row],[Quantity]]*INDEX(Production[Production in 1h],MATCH(IslandModel[[#This Row],[Building]],Production[Building],0))*IslandModel[[#This Row],[Input Consumption Multiplier]],0)</f>
        <v>0</v>
      </c>
      <c r="AL111" s="115">
        <f>100%</f>
        <v>1</v>
      </c>
      <c r="AM111"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11" s="77" t="str">
        <f>IFERROR(INDEX(Production[Input 1],MATCH(IslandModel[[#This Row],[Building]],Production[Building],0)),"")</f>
        <v/>
      </c>
      <c r="AO111" s="78"/>
      <c r="AP111"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11"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11"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11" s="35" t="str">
        <f>IFERROR(INDEX(Production[Input 2],MATCH(IslandModel[[#This Row],[Building]],Production[Building],0)),"")</f>
        <v/>
      </c>
      <c r="AT111" s="78"/>
      <c r="AU111"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11"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11"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11" s="35" t="str">
        <f>IFERROR(INDEX(Production[Input 3],MATCH(IslandModel[[#This Row],[Building]],Production[Building],0)),"")</f>
        <v/>
      </c>
      <c r="AY111" s="78"/>
      <c r="AZ111"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11"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11"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11" s="35" t="str">
        <f>IFERROR(INDEX(Production[Input 4],MATCH(IslandModel[[#This Row],[Building]],Production[Building],0)),"")</f>
        <v/>
      </c>
      <c r="BD111" s="78"/>
      <c r="BE111"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11"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11"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11" s="35" t="str">
        <f>IFERROR(INDEX(Production[Input 5],MATCH(IslandModel[[#This Row],[Building]],Production[Building],0)),"")</f>
        <v/>
      </c>
      <c r="BI111" s="78"/>
      <c r="BJ111"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11"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11"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11" s="35" t="str">
        <f>IFERROR(INDEX(Production[Input 6],MATCH(IslandModel[[#This Row],[Building]],Production[Building],0)),"")</f>
        <v/>
      </c>
      <c r="BN111" s="78"/>
      <c r="BO111"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11"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11"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11" s="35" t="str">
        <f>IFERROR(INDEX(Production[Input 7],MATCH(IslandModel[[#This Row],[Building]],Production[Building],0)),"")</f>
        <v/>
      </c>
      <c r="BS111" s="78"/>
      <c r="BT111"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11"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11"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11" s="35" t="str">
        <f>IFERROR(INDEX(Production[Input 8],MATCH(IslandModel[[#This Row],[Building]],Production[Building],0)),"")</f>
        <v/>
      </c>
      <c r="BX111" s="78"/>
      <c r="BY111"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11"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11"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11" s="35" t="str">
        <f>IFERROR(INDEX(Production[Input 9],MATCH(IslandModel[[#This Row],[Building]],Production[Building],0)),"")</f>
        <v/>
      </c>
      <c r="CC111" s="78"/>
      <c r="CD111"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11"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11"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11" s="35" t="str">
        <f>IFERROR(INDEX(Production[Input 10],MATCH(IslandModel[[#This Row],[Building]],Production[Building],0)),"")</f>
        <v/>
      </c>
      <c r="CH111" s="78"/>
      <c r="CI111"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11"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11"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11"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11" s="82" t="str">
        <f>IslandModel[[#This Row],[Resource Produced]]</f>
        <v/>
      </c>
      <c r="CN111" s="42">
        <f>IslandModel[[#This Row],[Amount produced/h]]</f>
        <v>0</v>
      </c>
      <c r="CO111" s="42" t="str">
        <f>IslandModel[[#This Row],[Input 1]]</f>
        <v/>
      </c>
      <c r="CP111" s="42">
        <f>-IslandModel[[#This Row],[Input 1 Consumed]]</f>
        <v>0</v>
      </c>
      <c r="CQ111" s="42" t="str">
        <f>IslandModel[[#This Row],[Input 2]]</f>
        <v/>
      </c>
      <c r="CR111" s="42">
        <f>-IslandModel[[#This Row],[Input 2 Consumed]]</f>
        <v>0</v>
      </c>
      <c r="CS111" s="42" t="str">
        <f>IslandModel[[#This Row],[Input 3]]</f>
        <v/>
      </c>
      <c r="CT111" s="42">
        <f>-IslandModel[[#This Row],[Input 3 Consumed]]</f>
        <v>0</v>
      </c>
      <c r="CU111" s="42" t="str">
        <f>IslandModel[[#This Row],[Input 4]]</f>
        <v/>
      </c>
      <c r="CV111" s="42">
        <f>-IslandModel[[#This Row],[Input 4 Consumed]]</f>
        <v>0</v>
      </c>
      <c r="CW111" s="42" t="str">
        <f>IslandModel[[#This Row],[Input 5]]</f>
        <v/>
      </c>
      <c r="CX111" s="42">
        <f>-IslandModel[[#This Row],[Input 5 Consumed]]</f>
        <v>0</v>
      </c>
      <c r="CY111" s="42" t="str">
        <f>IslandModel[[#This Row],[Input 6]]</f>
        <v/>
      </c>
      <c r="CZ111" s="42">
        <f>-IslandModel[[#This Row],[Input 6 Consumed]]</f>
        <v>0</v>
      </c>
      <c r="DA111" s="42" t="str">
        <f>IslandModel[[#This Row],[Input 7]]</f>
        <v/>
      </c>
      <c r="DB111" s="42">
        <f>-IslandModel[[#This Row],[Input 7 Consumed]]</f>
        <v>0</v>
      </c>
      <c r="DC111" s="42" t="str">
        <f>IslandModel[[#This Row],[Input 8]]</f>
        <v/>
      </c>
      <c r="DD111" s="42">
        <f>-IslandModel[[#This Row],[Input 8 Consumed]]</f>
        <v>0</v>
      </c>
      <c r="DE111" s="42" t="str">
        <f>IslandModel[[#This Row],[Input 9]]</f>
        <v/>
      </c>
      <c r="DF111" s="42">
        <f>-IslandModel[[#This Row],[Input 9 Consumed]]</f>
        <v>0</v>
      </c>
      <c r="DG111" s="42" t="str">
        <f>IslandModel[[#This Row],[Input 10]]</f>
        <v/>
      </c>
      <c r="DH111" s="42">
        <f>-IslandModel[[#This Row],[Input 10 Consumed]]</f>
        <v>0</v>
      </c>
      <c r="DJ111" s="69" t="s">
        <v>368</v>
      </c>
      <c r="DK111" s="39">
        <f>SUM(SUMIFS(IslandModel[Resource 1 Qty],IslandModel[Resource 1],ResourceAvailable[[#This Row],[Resource]]))</f>
        <v>0</v>
      </c>
      <c r="DL111"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11" s="39">
        <f>ResourceAvailable[[#This Row],[Amount Produced]]-ResourceAvailable[[#This Row],[Amount Consumed]]</f>
        <v>0</v>
      </c>
      <c r="DN111" s="20">
        <f>MAX(0,ResourceAvailable[[#This Row],[Amount Available for Resident Consumption]]-SUMIFS(ConsumptionModel[Resource Demand],ConsumptionModel[Resource],ResourceAvailable[[#This Row],[Resource]]))</f>
        <v>0</v>
      </c>
    </row>
    <row r="112" spans="30:118" ht="21" x14ac:dyDescent="0.65">
      <c r="AD112" s="83">
        <f>ROW()</f>
        <v>112</v>
      </c>
      <c r="AE112" s="106"/>
      <c r="AF112" s="72"/>
      <c r="AG112" s="18"/>
      <c r="AH112" s="18"/>
      <c r="AI112" s="156">
        <f>IFERROR(IslandModel[[#This Row],[Quantity]]/IslandModel[[#This Row],[Target Quantity]],0)</f>
        <v>0</v>
      </c>
      <c r="AJ112" s="61" t="str">
        <f>IFERROR(INDEX(Production[Resource Produced],MATCH(IslandModel[[#This Row],[Building]],Production[Building],0)),"")</f>
        <v/>
      </c>
      <c r="AK112" s="99">
        <f>IFERROR(IslandModel[[#This Row],[Quantity]]*INDEX(Production[Production in 1h],MATCH(IslandModel[[#This Row],[Building]],Production[Building],0))*IslandModel[[#This Row],[Input Consumption Multiplier]],0)</f>
        <v>0</v>
      </c>
      <c r="AL112" s="115">
        <f>100%</f>
        <v>1</v>
      </c>
      <c r="AM112"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12" s="77" t="str">
        <f>IFERROR(INDEX(Production[Input 1],MATCH(IslandModel[[#This Row],[Building]],Production[Building],0)),"")</f>
        <v/>
      </c>
      <c r="AO112" s="78"/>
      <c r="AP112"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12"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12"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12" s="35" t="str">
        <f>IFERROR(INDEX(Production[Input 2],MATCH(IslandModel[[#This Row],[Building]],Production[Building],0)),"")</f>
        <v/>
      </c>
      <c r="AT112" s="78"/>
      <c r="AU112"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12"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12"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12" s="35" t="str">
        <f>IFERROR(INDEX(Production[Input 3],MATCH(IslandModel[[#This Row],[Building]],Production[Building],0)),"")</f>
        <v/>
      </c>
      <c r="AY112" s="78"/>
      <c r="AZ112"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12"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12"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12" s="35" t="str">
        <f>IFERROR(INDEX(Production[Input 4],MATCH(IslandModel[[#This Row],[Building]],Production[Building],0)),"")</f>
        <v/>
      </c>
      <c r="BD112" s="78"/>
      <c r="BE112"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12"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12"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12" s="35" t="str">
        <f>IFERROR(INDEX(Production[Input 5],MATCH(IslandModel[[#This Row],[Building]],Production[Building],0)),"")</f>
        <v/>
      </c>
      <c r="BI112" s="78"/>
      <c r="BJ112"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12"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12"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12" s="35" t="str">
        <f>IFERROR(INDEX(Production[Input 6],MATCH(IslandModel[[#This Row],[Building]],Production[Building],0)),"")</f>
        <v/>
      </c>
      <c r="BN112" s="78"/>
      <c r="BO112"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12"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12"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12" s="35" t="str">
        <f>IFERROR(INDEX(Production[Input 7],MATCH(IslandModel[[#This Row],[Building]],Production[Building],0)),"")</f>
        <v/>
      </c>
      <c r="BS112" s="78"/>
      <c r="BT112"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12"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12"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12" s="35" t="str">
        <f>IFERROR(INDEX(Production[Input 8],MATCH(IslandModel[[#This Row],[Building]],Production[Building],0)),"")</f>
        <v/>
      </c>
      <c r="BX112" s="78"/>
      <c r="BY112"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12"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12"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12" s="35" t="str">
        <f>IFERROR(INDEX(Production[Input 9],MATCH(IslandModel[[#This Row],[Building]],Production[Building],0)),"")</f>
        <v/>
      </c>
      <c r="CC112" s="78"/>
      <c r="CD112"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12"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12"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12" s="35" t="str">
        <f>IFERROR(INDEX(Production[Input 10],MATCH(IslandModel[[#This Row],[Building]],Production[Building],0)),"")</f>
        <v/>
      </c>
      <c r="CH112" s="78"/>
      <c r="CI112"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12"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12"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12"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12" s="82" t="str">
        <f>IslandModel[[#This Row],[Resource Produced]]</f>
        <v/>
      </c>
      <c r="CN112" s="42">
        <f>IslandModel[[#This Row],[Amount produced/h]]</f>
        <v>0</v>
      </c>
      <c r="CO112" s="42" t="str">
        <f>IslandModel[[#This Row],[Input 1]]</f>
        <v/>
      </c>
      <c r="CP112" s="42">
        <f>-IslandModel[[#This Row],[Input 1 Consumed]]</f>
        <v>0</v>
      </c>
      <c r="CQ112" s="42" t="str">
        <f>IslandModel[[#This Row],[Input 2]]</f>
        <v/>
      </c>
      <c r="CR112" s="42">
        <f>-IslandModel[[#This Row],[Input 2 Consumed]]</f>
        <v>0</v>
      </c>
      <c r="CS112" s="42" t="str">
        <f>IslandModel[[#This Row],[Input 3]]</f>
        <v/>
      </c>
      <c r="CT112" s="42">
        <f>-IslandModel[[#This Row],[Input 3 Consumed]]</f>
        <v>0</v>
      </c>
      <c r="CU112" s="42" t="str">
        <f>IslandModel[[#This Row],[Input 4]]</f>
        <v/>
      </c>
      <c r="CV112" s="42">
        <f>-IslandModel[[#This Row],[Input 4 Consumed]]</f>
        <v>0</v>
      </c>
      <c r="CW112" s="42" t="str">
        <f>IslandModel[[#This Row],[Input 5]]</f>
        <v/>
      </c>
      <c r="CX112" s="42">
        <f>-IslandModel[[#This Row],[Input 5 Consumed]]</f>
        <v>0</v>
      </c>
      <c r="CY112" s="42" t="str">
        <f>IslandModel[[#This Row],[Input 6]]</f>
        <v/>
      </c>
      <c r="CZ112" s="42">
        <f>-IslandModel[[#This Row],[Input 6 Consumed]]</f>
        <v>0</v>
      </c>
      <c r="DA112" s="42" t="str">
        <f>IslandModel[[#This Row],[Input 7]]</f>
        <v/>
      </c>
      <c r="DB112" s="42">
        <f>-IslandModel[[#This Row],[Input 7 Consumed]]</f>
        <v>0</v>
      </c>
      <c r="DC112" s="42" t="str">
        <f>IslandModel[[#This Row],[Input 8]]</f>
        <v/>
      </c>
      <c r="DD112" s="42">
        <f>-IslandModel[[#This Row],[Input 8 Consumed]]</f>
        <v>0</v>
      </c>
      <c r="DE112" s="42" t="str">
        <f>IslandModel[[#This Row],[Input 9]]</f>
        <v/>
      </c>
      <c r="DF112" s="42">
        <f>-IslandModel[[#This Row],[Input 9 Consumed]]</f>
        <v>0</v>
      </c>
      <c r="DG112" s="42" t="str">
        <f>IslandModel[[#This Row],[Input 10]]</f>
        <v/>
      </c>
      <c r="DH112" s="42">
        <f>-IslandModel[[#This Row],[Input 10 Consumed]]</f>
        <v>0</v>
      </c>
      <c r="DJ112" s="69" t="s">
        <v>464</v>
      </c>
      <c r="DK112" s="39">
        <f>SUM(SUMIFS(IslandModel[Resource 1 Qty],IslandModel[Resource 1],ResourceAvailable[[#This Row],[Resource]]))</f>
        <v>0</v>
      </c>
      <c r="DL112"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12" s="39">
        <f>ResourceAvailable[[#This Row],[Amount Produced]]-ResourceAvailable[[#This Row],[Amount Consumed]]</f>
        <v>0</v>
      </c>
      <c r="DN112" s="20">
        <f>MAX(0,ResourceAvailable[[#This Row],[Amount Available for Resident Consumption]]-SUMIFS(ConsumptionModel[Resource Demand],ConsumptionModel[Resource],ResourceAvailable[[#This Row],[Resource]]))</f>
        <v>0</v>
      </c>
    </row>
    <row r="113" spans="30:118" ht="21" x14ac:dyDescent="0.65">
      <c r="AD113" s="83">
        <f>ROW()</f>
        <v>113</v>
      </c>
      <c r="AE113" s="106"/>
      <c r="AF113" s="72"/>
      <c r="AG113" s="18"/>
      <c r="AH113" s="18"/>
      <c r="AI113" s="156">
        <f>IFERROR(IslandModel[[#This Row],[Quantity]]/IslandModel[[#This Row],[Target Quantity]],0)</f>
        <v>0</v>
      </c>
      <c r="AJ113" s="61" t="str">
        <f>IFERROR(INDEX(Production[Resource Produced],MATCH(IslandModel[[#This Row],[Building]],Production[Building],0)),"")</f>
        <v/>
      </c>
      <c r="AK113" s="99">
        <f>IFERROR(IslandModel[[#This Row],[Quantity]]*INDEX(Production[Production in 1h],MATCH(IslandModel[[#This Row],[Building]],Production[Building],0))*IslandModel[[#This Row],[Input Consumption Multiplier]],0)</f>
        <v>0</v>
      </c>
      <c r="AL113" s="115">
        <f>100%</f>
        <v>1</v>
      </c>
      <c r="AM113"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13" s="77" t="str">
        <f>IFERROR(INDEX(Production[Input 1],MATCH(IslandModel[[#This Row],[Building]],Production[Building],0)),"")</f>
        <v/>
      </c>
      <c r="AO113" s="78"/>
      <c r="AP113"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13"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13"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13" s="35" t="str">
        <f>IFERROR(INDEX(Production[Input 2],MATCH(IslandModel[[#This Row],[Building]],Production[Building],0)),"")</f>
        <v/>
      </c>
      <c r="AT113" s="78"/>
      <c r="AU113"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13"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13"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13" s="35" t="str">
        <f>IFERROR(INDEX(Production[Input 3],MATCH(IslandModel[[#This Row],[Building]],Production[Building],0)),"")</f>
        <v/>
      </c>
      <c r="AY113" s="78"/>
      <c r="AZ113"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13"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13"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13" s="35" t="str">
        <f>IFERROR(INDEX(Production[Input 4],MATCH(IslandModel[[#This Row],[Building]],Production[Building],0)),"")</f>
        <v/>
      </c>
      <c r="BD113" s="78"/>
      <c r="BE113"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13"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13"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13" s="35" t="str">
        <f>IFERROR(INDEX(Production[Input 5],MATCH(IslandModel[[#This Row],[Building]],Production[Building],0)),"")</f>
        <v/>
      </c>
      <c r="BI113" s="78"/>
      <c r="BJ113"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13"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13"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13" s="35" t="str">
        <f>IFERROR(INDEX(Production[Input 6],MATCH(IslandModel[[#This Row],[Building]],Production[Building],0)),"")</f>
        <v/>
      </c>
      <c r="BN113" s="78"/>
      <c r="BO113"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13"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13"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13" s="35" t="str">
        <f>IFERROR(INDEX(Production[Input 7],MATCH(IslandModel[[#This Row],[Building]],Production[Building],0)),"")</f>
        <v/>
      </c>
      <c r="BS113" s="78"/>
      <c r="BT113"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13"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13"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13" s="35" t="str">
        <f>IFERROR(INDEX(Production[Input 8],MATCH(IslandModel[[#This Row],[Building]],Production[Building],0)),"")</f>
        <v/>
      </c>
      <c r="BX113" s="78"/>
      <c r="BY113"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13"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13"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13" s="35" t="str">
        <f>IFERROR(INDEX(Production[Input 9],MATCH(IslandModel[[#This Row],[Building]],Production[Building],0)),"")</f>
        <v/>
      </c>
      <c r="CC113" s="78"/>
      <c r="CD113"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13"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13"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13" s="35" t="str">
        <f>IFERROR(INDEX(Production[Input 10],MATCH(IslandModel[[#This Row],[Building]],Production[Building],0)),"")</f>
        <v/>
      </c>
      <c r="CH113" s="78"/>
      <c r="CI113"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13"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13"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13"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13" s="82" t="str">
        <f>IslandModel[[#This Row],[Resource Produced]]</f>
        <v/>
      </c>
      <c r="CN113" s="42">
        <f>IslandModel[[#This Row],[Amount produced/h]]</f>
        <v>0</v>
      </c>
      <c r="CO113" s="42" t="str">
        <f>IslandModel[[#This Row],[Input 1]]</f>
        <v/>
      </c>
      <c r="CP113" s="42">
        <f>-IslandModel[[#This Row],[Input 1 Consumed]]</f>
        <v>0</v>
      </c>
      <c r="CQ113" s="42" t="str">
        <f>IslandModel[[#This Row],[Input 2]]</f>
        <v/>
      </c>
      <c r="CR113" s="42">
        <f>-IslandModel[[#This Row],[Input 2 Consumed]]</f>
        <v>0</v>
      </c>
      <c r="CS113" s="42" t="str">
        <f>IslandModel[[#This Row],[Input 3]]</f>
        <v/>
      </c>
      <c r="CT113" s="42">
        <f>-IslandModel[[#This Row],[Input 3 Consumed]]</f>
        <v>0</v>
      </c>
      <c r="CU113" s="42" t="str">
        <f>IslandModel[[#This Row],[Input 4]]</f>
        <v/>
      </c>
      <c r="CV113" s="42">
        <f>-IslandModel[[#This Row],[Input 4 Consumed]]</f>
        <v>0</v>
      </c>
      <c r="CW113" s="42" t="str">
        <f>IslandModel[[#This Row],[Input 5]]</f>
        <v/>
      </c>
      <c r="CX113" s="42">
        <f>-IslandModel[[#This Row],[Input 5 Consumed]]</f>
        <v>0</v>
      </c>
      <c r="CY113" s="42" t="str">
        <f>IslandModel[[#This Row],[Input 6]]</f>
        <v/>
      </c>
      <c r="CZ113" s="42">
        <f>-IslandModel[[#This Row],[Input 6 Consumed]]</f>
        <v>0</v>
      </c>
      <c r="DA113" s="42" t="str">
        <f>IslandModel[[#This Row],[Input 7]]</f>
        <v/>
      </c>
      <c r="DB113" s="42">
        <f>-IslandModel[[#This Row],[Input 7 Consumed]]</f>
        <v>0</v>
      </c>
      <c r="DC113" s="42" t="str">
        <f>IslandModel[[#This Row],[Input 8]]</f>
        <v/>
      </c>
      <c r="DD113" s="42">
        <f>-IslandModel[[#This Row],[Input 8 Consumed]]</f>
        <v>0</v>
      </c>
      <c r="DE113" s="42" t="str">
        <f>IslandModel[[#This Row],[Input 9]]</f>
        <v/>
      </c>
      <c r="DF113" s="42">
        <f>-IslandModel[[#This Row],[Input 9 Consumed]]</f>
        <v>0</v>
      </c>
      <c r="DG113" s="42" t="str">
        <f>IslandModel[[#This Row],[Input 10]]</f>
        <v/>
      </c>
      <c r="DH113" s="42">
        <f>-IslandModel[[#This Row],[Input 10 Consumed]]</f>
        <v>0</v>
      </c>
      <c r="DJ113" s="69" t="s">
        <v>330</v>
      </c>
      <c r="DK113" s="39">
        <f>SUM(SUMIFS(IslandModel[Resource 1 Qty],IslandModel[Resource 1],ResourceAvailable[[#This Row],[Resource]]))</f>
        <v>0</v>
      </c>
      <c r="DL113"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13" s="39">
        <f>ResourceAvailable[[#This Row],[Amount Produced]]-ResourceAvailable[[#This Row],[Amount Consumed]]</f>
        <v>0</v>
      </c>
      <c r="DN113" s="20">
        <f>MAX(0,ResourceAvailable[[#This Row],[Amount Available for Resident Consumption]]-SUMIFS(ConsumptionModel[Resource Demand],ConsumptionModel[Resource],ResourceAvailable[[#This Row],[Resource]]))</f>
        <v>0</v>
      </c>
    </row>
    <row r="114" spans="30:118" ht="21" x14ac:dyDescent="0.65">
      <c r="AD114" s="83">
        <f>ROW()</f>
        <v>114</v>
      </c>
      <c r="AE114" s="106"/>
      <c r="AF114" s="72"/>
      <c r="AG114" s="18"/>
      <c r="AH114" s="18"/>
      <c r="AI114" s="156">
        <f>IFERROR(IslandModel[[#This Row],[Quantity]]/IslandModel[[#This Row],[Target Quantity]],0)</f>
        <v>0</v>
      </c>
      <c r="AJ114" s="61" t="str">
        <f>IFERROR(INDEX(Production[Resource Produced],MATCH(IslandModel[[#This Row],[Building]],Production[Building],0)),"")</f>
        <v/>
      </c>
      <c r="AK114" s="99">
        <f>IFERROR(IslandModel[[#This Row],[Quantity]]*INDEX(Production[Production in 1h],MATCH(IslandModel[[#This Row],[Building]],Production[Building],0))*IslandModel[[#This Row],[Input Consumption Multiplier]],0)</f>
        <v>0</v>
      </c>
      <c r="AL114" s="115">
        <f>100%</f>
        <v>1</v>
      </c>
      <c r="AM114"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14" s="77" t="str">
        <f>IFERROR(INDEX(Production[Input 1],MATCH(IslandModel[[#This Row],[Building]],Production[Building],0)),"")</f>
        <v/>
      </c>
      <c r="AO114" s="78"/>
      <c r="AP114"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14"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14"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14" s="35" t="str">
        <f>IFERROR(INDEX(Production[Input 2],MATCH(IslandModel[[#This Row],[Building]],Production[Building],0)),"")</f>
        <v/>
      </c>
      <c r="AT114" s="78"/>
      <c r="AU114"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14"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14"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14" s="35" t="str">
        <f>IFERROR(INDEX(Production[Input 3],MATCH(IslandModel[[#This Row],[Building]],Production[Building],0)),"")</f>
        <v/>
      </c>
      <c r="AY114" s="78"/>
      <c r="AZ114"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14"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14"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14" s="35" t="str">
        <f>IFERROR(INDEX(Production[Input 4],MATCH(IslandModel[[#This Row],[Building]],Production[Building],0)),"")</f>
        <v/>
      </c>
      <c r="BD114" s="78"/>
      <c r="BE114"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14"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14"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14" s="35" t="str">
        <f>IFERROR(INDEX(Production[Input 5],MATCH(IslandModel[[#This Row],[Building]],Production[Building],0)),"")</f>
        <v/>
      </c>
      <c r="BI114" s="78"/>
      <c r="BJ114"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14"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14"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14" s="35" t="str">
        <f>IFERROR(INDEX(Production[Input 6],MATCH(IslandModel[[#This Row],[Building]],Production[Building],0)),"")</f>
        <v/>
      </c>
      <c r="BN114" s="78"/>
      <c r="BO114"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14"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14"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14" s="35" t="str">
        <f>IFERROR(INDEX(Production[Input 7],MATCH(IslandModel[[#This Row],[Building]],Production[Building],0)),"")</f>
        <v/>
      </c>
      <c r="BS114" s="78"/>
      <c r="BT114"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14"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14"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14" s="35" t="str">
        <f>IFERROR(INDEX(Production[Input 8],MATCH(IslandModel[[#This Row],[Building]],Production[Building],0)),"")</f>
        <v/>
      </c>
      <c r="BX114" s="78"/>
      <c r="BY114"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14"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14"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14" s="35" t="str">
        <f>IFERROR(INDEX(Production[Input 9],MATCH(IslandModel[[#This Row],[Building]],Production[Building],0)),"")</f>
        <v/>
      </c>
      <c r="CC114" s="78"/>
      <c r="CD114"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14"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14"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14" s="35" t="str">
        <f>IFERROR(INDEX(Production[Input 10],MATCH(IslandModel[[#This Row],[Building]],Production[Building],0)),"")</f>
        <v/>
      </c>
      <c r="CH114" s="78"/>
      <c r="CI114"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14"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14"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14"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14" s="82" t="str">
        <f>IslandModel[[#This Row],[Resource Produced]]</f>
        <v/>
      </c>
      <c r="CN114" s="42">
        <f>IslandModel[[#This Row],[Amount produced/h]]</f>
        <v>0</v>
      </c>
      <c r="CO114" s="42" t="str">
        <f>IslandModel[[#This Row],[Input 1]]</f>
        <v/>
      </c>
      <c r="CP114" s="42">
        <f>-IslandModel[[#This Row],[Input 1 Consumed]]</f>
        <v>0</v>
      </c>
      <c r="CQ114" s="42" t="str">
        <f>IslandModel[[#This Row],[Input 2]]</f>
        <v/>
      </c>
      <c r="CR114" s="42">
        <f>-IslandModel[[#This Row],[Input 2 Consumed]]</f>
        <v>0</v>
      </c>
      <c r="CS114" s="42" t="str">
        <f>IslandModel[[#This Row],[Input 3]]</f>
        <v/>
      </c>
      <c r="CT114" s="42">
        <f>-IslandModel[[#This Row],[Input 3 Consumed]]</f>
        <v>0</v>
      </c>
      <c r="CU114" s="42" t="str">
        <f>IslandModel[[#This Row],[Input 4]]</f>
        <v/>
      </c>
      <c r="CV114" s="42">
        <f>-IslandModel[[#This Row],[Input 4 Consumed]]</f>
        <v>0</v>
      </c>
      <c r="CW114" s="42" t="str">
        <f>IslandModel[[#This Row],[Input 5]]</f>
        <v/>
      </c>
      <c r="CX114" s="42">
        <f>-IslandModel[[#This Row],[Input 5 Consumed]]</f>
        <v>0</v>
      </c>
      <c r="CY114" s="42" t="str">
        <f>IslandModel[[#This Row],[Input 6]]</f>
        <v/>
      </c>
      <c r="CZ114" s="42">
        <f>-IslandModel[[#This Row],[Input 6 Consumed]]</f>
        <v>0</v>
      </c>
      <c r="DA114" s="42" t="str">
        <f>IslandModel[[#This Row],[Input 7]]</f>
        <v/>
      </c>
      <c r="DB114" s="42">
        <f>-IslandModel[[#This Row],[Input 7 Consumed]]</f>
        <v>0</v>
      </c>
      <c r="DC114" s="42" t="str">
        <f>IslandModel[[#This Row],[Input 8]]</f>
        <v/>
      </c>
      <c r="DD114" s="42">
        <f>-IslandModel[[#This Row],[Input 8 Consumed]]</f>
        <v>0</v>
      </c>
      <c r="DE114" s="42" t="str">
        <f>IslandModel[[#This Row],[Input 9]]</f>
        <v/>
      </c>
      <c r="DF114" s="42">
        <f>-IslandModel[[#This Row],[Input 9 Consumed]]</f>
        <v>0</v>
      </c>
      <c r="DG114" s="42" t="str">
        <f>IslandModel[[#This Row],[Input 10]]</f>
        <v/>
      </c>
      <c r="DH114" s="42">
        <f>-IslandModel[[#This Row],[Input 10 Consumed]]</f>
        <v>0</v>
      </c>
      <c r="DJ114" s="69" t="s">
        <v>52</v>
      </c>
      <c r="DK114" s="39">
        <f>SUM(SUMIFS(IslandModel[Resource 1 Qty],IslandModel[Resource 1],ResourceAvailable[[#This Row],[Resource]]))</f>
        <v>354</v>
      </c>
      <c r="DL114"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14" s="39">
        <f>ResourceAvailable[[#This Row],[Amount Produced]]-ResourceAvailable[[#This Row],[Amount Consumed]]</f>
        <v>354</v>
      </c>
      <c r="DN114" s="20">
        <f>MAX(0,ResourceAvailable[[#This Row],[Amount Available for Resident Consumption]]-SUMIFS(ConsumptionModel[Resource Demand],ConsumptionModel[Resource],ResourceAvailable[[#This Row],[Resource]]))</f>
        <v>354</v>
      </c>
    </row>
    <row r="115" spans="30:118" ht="21" x14ac:dyDescent="0.65">
      <c r="AD115" s="83">
        <f>ROW()</f>
        <v>115</v>
      </c>
      <c r="AE115" s="106"/>
      <c r="AF115" s="18"/>
      <c r="AG115" s="18"/>
      <c r="AH115" s="18"/>
      <c r="AI115" s="157">
        <f>IFERROR(IslandModel[[#This Row],[Quantity]]/IslandModel[[#This Row],[Target Quantity]],0)</f>
        <v>0</v>
      </c>
      <c r="AJ115" s="61" t="str">
        <f>IFERROR(INDEX(Production[Resource Produced],MATCH(IslandModel[[#This Row],[Building]],Production[Building],0)),"")</f>
        <v/>
      </c>
      <c r="AK115" s="99">
        <f>IFERROR(IslandModel[[#This Row],[Quantity]]*INDEX(Production[Production in 1h],MATCH(IslandModel[[#This Row],[Building]],Production[Building],0))*IslandModel[[#This Row],[Input Consumption Multiplier]],0)</f>
        <v>0</v>
      </c>
      <c r="AL115" s="115">
        <f>100%</f>
        <v>1</v>
      </c>
      <c r="AM115"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15" s="77" t="str">
        <f>IFERROR(INDEX(Production[Input 1],MATCH(IslandModel[[#This Row],[Building]],Production[Building],0)),"")</f>
        <v/>
      </c>
      <c r="AO115" s="78"/>
      <c r="AP115"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15"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15"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15" s="35" t="str">
        <f>IFERROR(INDEX(Production[Input 2],MATCH(IslandModel[[#This Row],[Building]],Production[Building],0)),"")</f>
        <v/>
      </c>
      <c r="AT115" s="78"/>
      <c r="AU115"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15"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15"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15" s="35" t="str">
        <f>IFERROR(INDEX(Production[Input 3],MATCH(IslandModel[[#This Row],[Building]],Production[Building],0)),"")</f>
        <v/>
      </c>
      <c r="AY115" s="78"/>
      <c r="AZ115"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15"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15"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15" s="35" t="str">
        <f>IFERROR(INDEX(Production[Input 4],MATCH(IslandModel[[#This Row],[Building]],Production[Building],0)),"")</f>
        <v/>
      </c>
      <c r="BD115" s="78"/>
      <c r="BE115"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15"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15"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15" s="35" t="str">
        <f>IFERROR(INDEX(Production[Input 5],MATCH(IslandModel[[#This Row],[Building]],Production[Building],0)),"")</f>
        <v/>
      </c>
      <c r="BI115" s="78"/>
      <c r="BJ115"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15"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15"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15" s="35" t="str">
        <f>IFERROR(INDEX(Production[Input 6],MATCH(IslandModel[[#This Row],[Building]],Production[Building],0)),"")</f>
        <v/>
      </c>
      <c r="BN115" s="78"/>
      <c r="BO115"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15"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15"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15" s="35" t="str">
        <f>IFERROR(INDEX(Production[Input 7],MATCH(IslandModel[[#This Row],[Building]],Production[Building],0)),"")</f>
        <v/>
      </c>
      <c r="BS115" s="78"/>
      <c r="BT115"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15"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15"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15" s="35" t="str">
        <f>IFERROR(INDEX(Production[Input 8],MATCH(IslandModel[[#This Row],[Building]],Production[Building],0)),"")</f>
        <v/>
      </c>
      <c r="BX115" s="78"/>
      <c r="BY115"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15"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15"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15" s="35" t="str">
        <f>IFERROR(INDEX(Production[Input 9],MATCH(IslandModel[[#This Row],[Building]],Production[Building],0)),"")</f>
        <v/>
      </c>
      <c r="CC115" s="78"/>
      <c r="CD115"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15"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15"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15" s="35" t="str">
        <f>IFERROR(INDEX(Production[Input 10],MATCH(IslandModel[[#This Row],[Building]],Production[Building],0)),"")</f>
        <v/>
      </c>
      <c r="CH115" s="78"/>
      <c r="CI115"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15"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15"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15"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15" s="82" t="str">
        <f>IslandModel[[#This Row],[Resource Produced]]</f>
        <v/>
      </c>
      <c r="CN115" s="42">
        <f>IslandModel[[#This Row],[Amount produced/h]]</f>
        <v>0</v>
      </c>
      <c r="CO115" s="42" t="str">
        <f>IslandModel[[#This Row],[Input 1]]</f>
        <v/>
      </c>
      <c r="CP115" s="42">
        <f>-IslandModel[[#This Row],[Input 1 Consumed]]</f>
        <v>0</v>
      </c>
      <c r="CQ115" s="42" t="str">
        <f>IslandModel[[#This Row],[Input 2]]</f>
        <v/>
      </c>
      <c r="CR115" s="42">
        <f>-IslandModel[[#This Row],[Input 2 Consumed]]</f>
        <v>0</v>
      </c>
      <c r="CS115" s="42" t="str">
        <f>IslandModel[[#This Row],[Input 3]]</f>
        <v/>
      </c>
      <c r="CT115" s="42">
        <f>-IslandModel[[#This Row],[Input 3 Consumed]]</f>
        <v>0</v>
      </c>
      <c r="CU115" s="42" t="str">
        <f>IslandModel[[#This Row],[Input 4]]</f>
        <v/>
      </c>
      <c r="CV115" s="42">
        <f>-IslandModel[[#This Row],[Input 4 Consumed]]</f>
        <v>0</v>
      </c>
      <c r="CW115" s="42" t="str">
        <f>IslandModel[[#This Row],[Input 5]]</f>
        <v/>
      </c>
      <c r="CX115" s="42">
        <f>-IslandModel[[#This Row],[Input 5 Consumed]]</f>
        <v>0</v>
      </c>
      <c r="CY115" s="42" t="str">
        <f>IslandModel[[#This Row],[Input 6]]</f>
        <v/>
      </c>
      <c r="CZ115" s="42">
        <f>-IslandModel[[#This Row],[Input 6 Consumed]]</f>
        <v>0</v>
      </c>
      <c r="DA115" s="42" t="str">
        <f>IslandModel[[#This Row],[Input 7]]</f>
        <v/>
      </c>
      <c r="DB115" s="42">
        <f>-IslandModel[[#This Row],[Input 7 Consumed]]</f>
        <v>0</v>
      </c>
      <c r="DC115" s="42" t="str">
        <f>IslandModel[[#This Row],[Input 8]]</f>
        <v/>
      </c>
      <c r="DD115" s="42">
        <f>-IslandModel[[#This Row],[Input 8 Consumed]]</f>
        <v>0</v>
      </c>
      <c r="DE115" s="42" t="str">
        <f>IslandModel[[#This Row],[Input 9]]</f>
        <v/>
      </c>
      <c r="DF115" s="42">
        <f>-IslandModel[[#This Row],[Input 9 Consumed]]</f>
        <v>0</v>
      </c>
      <c r="DG115" s="42" t="str">
        <f>IslandModel[[#This Row],[Input 10]]</f>
        <v/>
      </c>
      <c r="DH115" s="42">
        <f>-IslandModel[[#This Row],[Input 10 Consumed]]</f>
        <v>0</v>
      </c>
      <c r="DJ115" s="69" t="s">
        <v>102</v>
      </c>
      <c r="DK115" s="39">
        <f>SUM(SUMIFS(IslandModel[Resource 1 Qty],IslandModel[Resource 1],ResourceAvailable[[#This Row],[Resource]]))</f>
        <v>0</v>
      </c>
      <c r="DL115"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15" s="39">
        <f>ResourceAvailable[[#This Row],[Amount Produced]]-ResourceAvailable[[#This Row],[Amount Consumed]]</f>
        <v>0</v>
      </c>
      <c r="DN115" s="20">
        <f>MAX(0,ResourceAvailable[[#This Row],[Amount Available for Resident Consumption]]-SUMIFS(ConsumptionModel[Resource Demand],ConsumptionModel[Resource],ResourceAvailable[[#This Row],[Resource]]))</f>
        <v>0</v>
      </c>
    </row>
    <row r="116" spans="30:118" ht="21" x14ac:dyDescent="0.65">
      <c r="AD116" s="83">
        <f>ROW()</f>
        <v>116</v>
      </c>
      <c r="AE116" s="106"/>
      <c r="AF116" s="18"/>
      <c r="AG116" s="18"/>
      <c r="AH116" s="18"/>
      <c r="AI116" s="157">
        <f>IFERROR(IslandModel[[#This Row],[Quantity]]/IslandModel[[#This Row],[Target Quantity]],0)</f>
        <v>0</v>
      </c>
      <c r="AJ116" s="61" t="str">
        <f>IFERROR(INDEX(Production[Resource Produced],MATCH(IslandModel[[#This Row],[Building]],Production[Building],0)),"")</f>
        <v/>
      </c>
      <c r="AK116" s="99">
        <f>IFERROR(IslandModel[[#This Row],[Quantity]]*INDEX(Production[Production in 1h],MATCH(IslandModel[[#This Row],[Building]],Production[Building],0))*IslandModel[[#This Row],[Input Consumption Multiplier]],0)</f>
        <v>0</v>
      </c>
      <c r="AL116" s="115">
        <f>100%</f>
        <v>1</v>
      </c>
      <c r="AM116"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16" s="77" t="str">
        <f>IFERROR(INDEX(Production[Input 1],MATCH(IslandModel[[#This Row],[Building]],Production[Building],0)),"")</f>
        <v/>
      </c>
      <c r="AO116" s="78"/>
      <c r="AP116"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16"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16"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16" s="35" t="str">
        <f>IFERROR(INDEX(Production[Input 2],MATCH(IslandModel[[#This Row],[Building]],Production[Building],0)),"")</f>
        <v/>
      </c>
      <c r="AT116" s="78"/>
      <c r="AU116"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16"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16"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16" s="35" t="str">
        <f>IFERROR(INDEX(Production[Input 3],MATCH(IslandModel[[#This Row],[Building]],Production[Building],0)),"")</f>
        <v/>
      </c>
      <c r="AY116" s="78"/>
      <c r="AZ116"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16"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16"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16" s="35" t="str">
        <f>IFERROR(INDEX(Production[Input 4],MATCH(IslandModel[[#This Row],[Building]],Production[Building],0)),"")</f>
        <v/>
      </c>
      <c r="BD116" s="78"/>
      <c r="BE116"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16"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16"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16" s="35" t="str">
        <f>IFERROR(INDEX(Production[Input 5],MATCH(IslandModel[[#This Row],[Building]],Production[Building],0)),"")</f>
        <v/>
      </c>
      <c r="BI116" s="78"/>
      <c r="BJ116"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16"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16"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16" s="35" t="str">
        <f>IFERROR(INDEX(Production[Input 6],MATCH(IslandModel[[#This Row],[Building]],Production[Building],0)),"")</f>
        <v/>
      </c>
      <c r="BN116" s="78"/>
      <c r="BO116"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16"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16"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16" s="35" t="str">
        <f>IFERROR(INDEX(Production[Input 7],MATCH(IslandModel[[#This Row],[Building]],Production[Building],0)),"")</f>
        <v/>
      </c>
      <c r="BS116" s="78"/>
      <c r="BT116"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16"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16"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16" s="35" t="str">
        <f>IFERROR(INDEX(Production[Input 8],MATCH(IslandModel[[#This Row],[Building]],Production[Building],0)),"")</f>
        <v/>
      </c>
      <c r="BX116" s="78"/>
      <c r="BY116"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16"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16"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16" s="35" t="str">
        <f>IFERROR(INDEX(Production[Input 9],MATCH(IslandModel[[#This Row],[Building]],Production[Building],0)),"")</f>
        <v/>
      </c>
      <c r="CC116" s="78"/>
      <c r="CD116"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16"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16"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16" s="35" t="str">
        <f>IFERROR(INDEX(Production[Input 10],MATCH(IslandModel[[#This Row],[Building]],Production[Building],0)),"")</f>
        <v/>
      </c>
      <c r="CH116" s="78"/>
      <c r="CI116"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16"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16"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16"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16" s="82" t="str">
        <f>IslandModel[[#This Row],[Resource Produced]]</f>
        <v/>
      </c>
      <c r="CN116" s="42">
        <f>IslandModel[[#This Row],[Amount produced/h]]</f>
        <v>0</v>
      </c>
      <c r="CO116" s="42" t="str">
        <f>IslandModel[[#This Row],[Input 1]]</f>
        <v/>
      </c>
      <c r="CP116" s="42">
        <f>-IslandModel[[#This Row],[Input 1 Consumed]]</f>
        <v>0</v>
      </c>
      <c r="CQ116" s="42" t="str">
        <f>IslandModel[[#This Row],[Input 2]]</f>
        <v/>
      </c>
      <c r="CR116" s="42">
        <f>-IslandModel[[#This Row],[Input 2 Consumed]]</f>
        <v>0</v>
      </c>
      <c r="CS116" s="42" t="str">
        <f>IslandModel[[#This Row],[Input 3]]</f>
        <v/>
      </c>
      <c r="CT116" s="42">
        <f>-IslandModel[[#This Row],[Input 3 Consumed]]</f>
        <v>0</v>
      </c>
      <c r="CU116" s="42" t="str">
        <f>IslandModel[[#This Row],[Input 4]]</f>
        <v/>
      </c>
      <c r="CV116" s="42">
        <f>-IslandModel[[#This Row],[Input 4 Consumed]]</f>
        <v>0</v>
      </c>
      <c r="CW116" s="42" t="str">
        <f>IslandModel[[#This Row],[Input 5]]</f>
        <v/>
      </c>
      <c r="CX116" s="42">
        <f>-IslandModel[[#This Row],[Input 5 Consumed]]</f>
        <v>0</v>
      </c>
      <c r="CY116" s="42" t="str">
        <f>IslandModel[[#This Row],[Input 6]]</f>
        <v/>
      </c>
      <c r="CZ116" s="42">
        <f>-IslandModel[[#This Row],[Input 6 Consumed]]</f>
        <v>0</v>
      </c>
      <c r="DA116" s="42" t="str">
        <f>IslandModel[[#This Row],[Input 7]]</f>
        <v/>
      </c>
      <c r="DB116" s="42">
        <f>-IslandModel[[#This Row],[Input 7 Consumed]]</f>
        <v>0</v>
      </c>
      <c r="DC116" s="42" t="str">
        <f>IslandModel[[#This Row],[Input 8]]</f>
        <v/>
      </c>
      <c r="DD116" s="42">
        <f>-IslandModel[[#This Row],[Input 8 Consumed]]</f>
        <v>0</v>
      </c>
      <c r="DE116" s="42" t="str">
        <f>IslandModel[[#This Row],[Input 9]]</f>
        <v/>
      </c>
      <c r="DF116" s="42">
        <f>-IslandModel[[#This Row],[Input 9 Consumed]]</f>
        <v>0</v>
      </c>
      <c r="DG116" s="42" t="str">
        <f>IslandModel[[#This Row],[Input 10]]</f>
        <v/>
      </c>
      <c r="DH116" s="42">
        <f>-IslandModel[[#This Row],[Input 10 Consumed]]</f>
        <v>0</v>
      </c>
      <c r="DJ116" s="69" t="s">
        <v>84</v>
      </c>
      <c r="DK116" s="39">
        <f>SUM(SUMIFS(IslandModel[Resource 1 Qty],IslandModel[Resource 1],ResourceAvailable[[#This Row],[Resource]]))</f>
        <v>0</v>
      </c>
      <c r="DL116"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16" s="39">
        <f>ResourceAvailable[[#This Row],[Amount Produced]]-ResourceAvailable[[#This Row],[Amount Consumed]]</f>
        <v>0</v>
      </c>
      <c r="DN116" s="20">
        <f>MAX(0,ResourceAvailable[[#This Row],[Amount Available for Resident Consumption]]-SUMIFS(ConsumptionModel[Resource Demand],ConsumptionModel[Resource],ResourceAvailable[[#This Row],[Resource]]))</f>
        <v>0</v>
      </c>
    </row>
    <row r="117" spans="30:118" ht="21" x14ac:dyDescent="0.65">
      <c r="AD117" s="83">
        <f>ROW()</f>
        <v>117</v>
      </c>
      <c r="AE117" s="106"/>
      <c r="AF117" s="18"/>
      <c r="AG117" s="18"/>
      <c r="AH117" s="18"/>
      <c r="AI117" s="157">
        <f>IFERROR(IslandModel[[#This Row],[Quantity]]/IslandModel[[#This Row],[Target Quantity]],0)</f>
        <v>0</v>
      </c>
      <c r="AJ117" s="61" t="str">
        <f>IFERROR(INDEX(Production[Resource Produced],MATCH(IslandModel[[#This Row],[Building]],Production[Building],0)),"")</f>
        <v/>
      </c>
      <c r="AK117" s="99">
        <f>IFERROR(IslandModel[[#This Row],[Quantity]]*INDEX(Production[Production in 1h],MATCH(IslandModel[[#This Row],[Building]],Production[Building],0))*IslandModel[[#This Row],[Input Consumption Multiplier]],0)</f>
        <v>0</v>
      </c>
      <c r="AL117" s="115">
        <f>100%</f>
        <v>1</v>
      </c>
      <c r="AM117"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17" s="77" t="str">
        <f>IFERROR(INDEX(Production[Input 1],MATCH(IslandModel[[#This Row],[Building]],Production[Building],0)),"")</f>
        <v/>
      </c>
      <c r="AO117" s="78"/>
      <c r="AP117"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17"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17"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17" s="35" t="str">
        <f>IFERROR(INDEX(Production[Input 2],MATCH(IslandModel[[#This Row],[Building]],Production[Building],0)),"")</f>
        <v/>
      </c>
      <c r="AT117" s="78"/>
      <c r="AU117"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17"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17"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17" s="35" t="str">
        <f>IFERROR(INDEX(Production[Input 3],MATCH(IslandModel[[#This Row],[Building]],Production[Building],0)),"")</f>
        <v/>
      </c>
      <c r="AY117" s="78"/>
      <c r="AZ117"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17"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17"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17" s="35" t="str">
        <f>IFERROR(INDEX(Production[Input 4],MATCH(IslandModel[[#This Row],[Building]],Production[Building],0)),"")</f>
        <v/>
      </c>
      <c r="BD117" s="78"/>
      <c r="BE117"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17"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17"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17" s="35" t="str">
        <f>IFERROR(INDEX(Production[Input 5],MATCH(IslandModel[[#This Row],[Building]],Production[Building],0)),"")</f>
        <v/>
      </c>
      <c r="BI117" s="78"/>
      <c r="BJ117"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17"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17"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17" s="35" t="str">
        <f>IFERROR(INDEX(Production[Input 6],MATCH(IslandModel[[#This Row],[Building]],Production[Building],0)),"")</f>
        <v/>
      </c>
      <c r="BN117" s="78"/>
      <c r="BO117"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17"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17"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17" s="35" t="str">
        <f>IFERROR(INDEX(Production[Input 7],MATCH(IslandModel[[#This Row],[Building]],Production[Building],0)),"")</f>
        <v/>
      </c>
      <c r="BS117" s="78"/>
      <c r="BT117"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17"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17"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17" s="35" t="str">
        <f>IFERROR(INDEX(Production[Input 8],MATCH(IslandModel[[#This Row],[Building]],Production[Building],0)),"")</f>
        <v/>
      </c>
      <c r="BX117" s="78"/>
      <c r="BY117"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17"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17"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17" s="35" t="str">
        <f>IFERROR(INDEX(Production[Input 9],MATCH(IslandModel[[#This Row],[Building]],Production[Building],0)),"")</f>
        <v/>
      </c>
      <c r="CC117" s="78"/>
      <c r="CD117"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17"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17"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17" s="35" t="str">
        <f>IFERROR(INDEX(Production[Input 10],MATCH(IslandModel[[#This Row],[Building]],Production[Building],0)),"")</f>
        <v/>
      </c>
      <c r="CH117" s="78"/>
      <c r="CI117"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17"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17"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17"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17" s="82" t="str">
        <f>IslandModel[[#This Row],[Resource Produced]]</f>
        <v/>
      </c>
      <c r="CN117" s="42">
        <f>IslandModel[[#This Row],[Amount produced/h]]</f>
        <v>0</v>
      </c>
      <c r="CO117" s="42" t="str">
        <f>IslandModel[[#This Row],[Input 1]]</f>
        <v/>
      </c>
      <c r="CP117" s="42">
        <f>-IslandModel[[#This Row],[Input 1 Consumed]]</f>
        <v>0</v>
      </c>
      <c r="CQ117" s="42" t="str">
        <f>IslandModel[[#This Row],[Input 2]]</f>
        <v/>
      </c>
      <c r="CR117" s="42">
        <f>-IslandModel[[#This Row],[Input 2 Consumed]]</f>
        <v>0</v>
      </c>
      <c r="CS117" s="42" t="str">
        <f>IslandModel[[#This Row],[Input 3]]</f>
        <v/>
      </c>
      <c r="CT117" s="42">
        <f>-IslandModel[[#This Row],[Input 3 Consumed]]</f>
        <v>0</v>
      </c>
      <c r="CU117" s="42" t="str">
        <f>IslandModel[[#This Row],[Input 4]]</f>
        <v/>
      </c>
      <c r="CV117" s="42">
        <f>-IslandModel[[#This Row],[Input 4 Consumed]]</f>
        <v>0</v>
      </c>
      <c r="CW117" s="42" t="str">
        <f>IslandModel[[#This Row],[Input 5]]</f>
        <v/>
      </c>
      <c r="CX117" s="42">
        <f>-IslandModel[[#This Row],[Input 5 Consumed]]</f>
        <v>0</v>
      </c>
      <c r="CY117" s="42" t="str">
        <f>IslandModel[[#This Row],[Input 6]]</f>
        <v/>
      </c>
      <c r="CZ117" s="42">
        <f>-IslandModel[[#This Row],[Input 6 Consumed]]</f>
        <v>0</v>
      </c>
      <c r="DA117" s="42" t="str">
        <f>IslandModel[[#This Row],[Input 7]]</f>
        <v/>
      </c>
      <c r="DB117" s="42">
        <f>-IslandModel[[#This Row],[Input 7 Consumed]]</f>
        <v>0</v>
      </c>
      <c r="DC117" s="42" t="str">
        <f>IslandModel[[#This Row],[Input 8]]</f>
        <v/>
      </c>
      <c r="DD117" s="42">
        <f>-IslandModel[[#This Row],[Input 8 Consumed]]</f>
        <v>0</v>
      </c>
      <c r="DE117" s="42" t="str">
        <f>IslandModel[[#This Row],[Input 9]]</f>
        <v/>
      </c>
      <c r="DF117" s="42">
        <f>-IslandModel[[#This Row],[Input 9 Consumed]]</f>
        <v>0</v>
      </c>
      <c r="DG117" s="42" t="str">
        <f>IslandModel[[#This Row],[Input 10]]</f>
        <v/>
      </c>
      <c r="DH117" s="42">
        <f>-IslandModel[[#This Row],[Input 10 Consumed]]</f>
        <v>0</v>
      </c>
      <c r="DJ117" s="69" t="s">
        <v>382</v>
      </c>
      <c r="DK117" s="39">
        <f>SUM(SUMIFS(IslandModel[Resource 1 Qty],IslandModel[Resource 1],ResourceAvailable[[#This Row],[Resource]]))</f>
        <v>0</v>
      </c>
      <c r="DL117"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17" s="39">
        <f>ResourceAvailable[[#This Row],[Amount Produced]]-ResourceAvailable[[#This Row],[Amount Consumed]]</f>
        <v>0</v>
      </c>
      <c r="DN117" s="58">
        <f>MAX(0,ResourceAvailable[[#This Row],[Amount Available for Resident Consumption]]-SUMIFS(ConsumptionModel[Resource Demand],ConsumptionModel[Resource],ResourceAvailable[[#This Row],[Resource]]))</f>
        <v>0</v>
      </c>
    </row>
    <row r="118" spans="30:118" ht="21" x14ac:dyDescent="0.65">
      <c r="AD118" s="83">
        <f>ROW()</f>
        <v>118</v>
      </c>
      <c r="AE118" s="106"/>
      <c r="AF118" s="18"/>
      <c r="AG118" s="18"/>
      <c r="AH118" s="18"/>
      <c r="AI118" s="157">
        <f>IFERROR(IslandModel[[#This Row],[Quantity]]/IslandModel[[#This Row],[Target Quantity]],0)</f>
        <v>0</v>
      </c>
      <c r="AJ118" s="61" t="str">
        <f>IFERROR(INDEX(Production[Resource Produced],MATCH(IslandModel[[#This Row],[Building]],Production[Building],0)),"")</f>
        <v/>
      </c>
      <c r="AK118" s="99">
        <f>IFERROR(IslandModel[[#This Row],[Quantity]]*INDEX(Production[Production in 1h],MATCH(IslandModel[[#This Row],[Building]],Production[Building],0))*IslandModel[[#This Row],[Input Consumption Multiplier]],0)</f>
        <v>0</v>
      </c>
      <c r="AL118" s="115">
        <f>100%</f>
        <v>1</v>
      </c>
      <c r="AM118"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18" s="77" t="str">
        <f>IFERROR(INDEX(Production[Input 1],MATCH(IslandModel[[#This Row],[Building]],Production[Building],0)),"")</f>
        <v/>
      </c>
      <c r="AO118" s="78"/>
      <c r="AP118"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18"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18"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18" s="35" t="str">
        <f>IFERROR(INDEX(Production[Input 2],MATCH(IslandModel[[#This Row],[Building]],Production[Building],0)),"")</f>
        <v/>
      </c>
      <c r="AT118" s="78"/>
      <c r="AU118"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18"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18"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18" s="35" t="str">
        <f>IFERROR(INDEX(Production[Input 3],MATCH(IslandModel[[#This Row],[Building]],Production[Building],0)),"")</f>
        <v/>
      </c>
      <c r="AY118" s="78"/>
      <c r="AZ118"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18"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18"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18" s="35" t="str">
        <f>IFERROR(INDEX(Production[Input 4],MATCH(IslandModel[[#This Row],[Building]],Production[Building],0)),"")</f>
        <v/>
      </c>
      <c r="BD118" s="78"/>
      <c r="BE118"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18"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18"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18" s="35" t="str">
        <f>IFERROR(INDEX(Production[Input 5],MATCH(IslandModel[[#This Row],[Building]],Production[Building],0)),"")</f>
        <v/>
      </c>
      <c r="BI118" s="78"/>
      <c r="BJ118"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18"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18"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18" s="35" t="str">
        <f>IFERROR(INDEX(Production[Input 6],MATCH(IslandModel[[#This Row],[Building]],Production[Building],0)),"")</f>
        <v/>
      </c>
      <c r="BN118" s="78"/>
      <c r="BO118"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18"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18"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18" s="35" t="str">
        <f>IFERROR(INDEX(Production[Input 7],MATCH(IslandModel[[#This Row],[Building]],Production[Building],0)),"")</f>
        <v/>
      </c>
      <c r="BS118" s="78"/>
      <c r="BT118"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18"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18"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18" s="35" t="str">
        <f>IFERROR(INDEX(Production[Input 8],MATCH(IslandModel[[#This Row],[Building]],Production[Building],0)),"")</f>
        <v/>
      </c>
      <c r="BX118" s="78"/>
      <c r="BY118"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18"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18"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18" s="35" t="str">
        <f>IFERROR(INDEX(Production[Input 9],MATCH(IslandModel[[#This Row],[Building]],Production[Building],0)),"")</f>
        <v/>
      </c>
      <c r="CC118" s="78"/>
      <c r="CD118"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18"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18"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18" s="35" t="str">
        <f>IFERROR(INDEX(Production[Input 10],MATCH(IslandModel[[#This Row],[Building]],Production[Building],0)),"")</f>
        <v/>
      </c>
      <c r="CH118" s="78"/>
      <c r="CI118"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18"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18"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18"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18" s="82" t="str">
        <f>IslandModel[[#This Row],[Resource Produced]]</f>
        <v/>
      </c>
      <c r="CN118" s="42">
        <f>IslandModel[[#This Row],[Amount produced/h]]</f>
        <v>0</v>
      </c>
      <c r="CO118" s="42" t="str">
        <f>IslandModel[[#This Row],[Input 1]]</f>
        <v/>
      </c>
      <c r="CP118" s="42">
        <f>-IslandModel[[#This Row],[Input 1 Consumed]]</f>
        <v>0</v>
      </c>
      <c r="CQ118" s="42" t="str">
        <f>IslandModel[[#This Row],[Input 2]]</f>
        <v/>
      </c>
      <c r="CR118" s="42">
        <f>-IslandModel[[#This Row],[Input 2 Consumed]]</f>
        <v>0</v>
      </c>
      <c r="CS118" s="42" t="str">
        <f>IslandModel[[#This Row],[Input 3]]</f>
        <v/>
      </c>
      <c r="CT118" s="42">
        <f>-IslandModel[[#This Row],[Input 3 Consumed]]</f>
        <v>0</v>
      </c>
      <c r="CU118" s="42" t="str">
        <f>IslandModel[[#This Row],[Input 4]]</f>
        <v/>
      </c>
      <c r="CV118" s="42">
        <f>-IslandModel[[#This Row],[Input 4 Consumed]]</f>
        <v>0</v>
      </c>
      <c r="CW118" s="42" t="str">
        <f>IslandModel[[#This Row],[Input 5]]</f>
        <v/>
      </c>
      <c r="CX118" s="42">
        <f>-IslandModel[[#This Row],[Input 5 Consumed]]</f>
        <v>0</v>
      </c>
      <c r="CY118" s="42" t="str">
        <f>IslandModel[[#This Row],[Input 6]]</f>
        <v/>
      </c>
      <c r="CZ118" s="42">
        <f>-IslandModel[[#This Row],[Input 6 Consumed]]</f>
        <v>0</v>
      </c>
      <c r="DA118" s="42" t="str">
        <f>IslandModel[[#This Row],[Input 7]]</f>
        <v/>
      </c>
      <c r="DB118" s="42">
        <f>-IslandModel[[#This Row],[Input 7 Consumed]]</f>
        <v>0</v>
      </c>
      <c r="DC118" s="42" t="str">
        <f>IslandModel[[#This Row],[Input 8]]</f>
        <v/>
      </c>
      <c r="DD118" s="42">
        <f>-IslandModel[[#This Row],[Input 8 Consumed]]</f>
        <v>0</v>
      </c>
      <c r="DE118" s="42" t="str">
        <f>IslandModel[[#This Row],[Input 9]]</f>
        <v/>
      </c>
      <c r="DF118" s="42">
        <f>-IslandModel[[#This Row],[Input 9 Consumed]]</f>
        <v>0</v>
      </c>
      <c r="DG118" s="42" t="str">
        <f>IslandModel[[#This Row],[Input 10]]</f>
        <v/>
      </c>
      <c r="DH118" s="42">
        <f>-IslandModel[[#This Row],[Input 10 Consumed]]</f>
        <v>0</v>
      </c>
      <c r="DJ118" s="69" t="s">
        <v>49</v>
      </c>
      <c r="DK118" s="39">
        <f>SUM(SUMIFS(IslandModel[Resource 1 Qty],IslandModel[Resource 1],ResourceAvailable[[#This Row],[Resource]]))</f>
        <v>0</v>
      </c>
      <c r="DL118" s="39">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18" s="39">
        <f>ResourceAvailable[[#This Row],[Amount Produced]]-ResourceAvailable[[#This Row],[Amount Consumed]]</f>
        <v>0</v>
      </c>
      <c r="DN118" s="20">
        <f>MAX(0,ResourceAvailable[[#This Row],[Amount Available for Resident Consumption]]-SUMIFS(ConsumptionModel[Resource Demand],ConsumptionModel[Resource],ResourceAvailable[[#This Row],[Resource]]))</f>
        <v>0</v>
      </c>
    </row>
    <row r="119" spans="30:118" ht="21" x14ac:dyDescent="0.65">
      <c r="AD119" s="83">
        <f>ROW()</f>
        <v>119</v>
      </c>
      <c r="AE119" s="106"/>
      <c r="AF119" s="18"/>
      <c r="AG119" s="18"/>
      <c r="AH119" s="18"/>
      <c r="AI119" s="157">
        <f>IFERROR(IslandModel[[#This Row],[Quantity]]/IslandModel[[#This Row],[Target Quantity]],0)</f>
        <v>0</v>
      </c>
      <c r="AJ119" s="61" t="str">
        <f>IFERROR(INDEX(Production[Resource Produced],MATCH(IslandModel[[#This Row],[Building]],Production[Building],0)),"")</f>
        <v/>
      </c>
      <c r="AK119" s="99">
        <f>IFERROR(IslandModel[[#This Row],[Quantity]]*INDEX(Production[Production in 1h],MATCH(IslandModel[[#This Row],[Building]],Production[Building],0))*IslandModel[[#This Row],[Input Consumption Multiplier]],0)</f>
        <v>0</v>
      </c>
      <c r="AL119" s="115">
        <f>100%</f>
        <v>1</v>
      </c>
      <c r="AM119"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19" s="77" t="str">
        <f>IFERROR(INDEX(Production[Input 1],MATCH(IslandModel[[#This Row],[Building]],Production[Building],0)),"")</f>
        <v/>
      </c>
      <c r="AO119" s="78"/>
      <c r="AP119"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19"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19"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19" s="35" t="str">
        <f>IFERROR(INDEX(Production[Input 2],MATCH(IslandModel[[#This Row],[Building]],Production[Building],0)),"")</f>
        <v/>
      </c>
      <c r="AT119" s="78"/>
      <c r="AU119"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19"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19"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19" s="35" t="str">
        <f>IFERROR(INDEX(Production[Input 3],MATCH(IslandModel[[#This Row],[Building]],Production[Building],0)),"")</f>
        <v/>
      </c>
      <c r="AY119" s="78"/>
      <c r="AZ119"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19"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19"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19" s="35" t="str">
        <f>IFERROR(INDEX(Production[Input 4],MATCH(IslandModel[[#This Row],[Building]],Production[Building],0)),"")</f>
        <v/>
      </c>
      <c r="BD119" s="78"/>
      <c r="BE119"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19"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19"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19" s="35" t="str">
        <f>IFERROR(INDEX(Production[Input 5],MATCH(IslandModel[[#This Row],[Building]],Production[Building],0)),"")</f>
        <v/>
      </c>
      <c r="BI119" s="78"/>
      <c r="BJ119"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19"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19"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19" s="35" t="str">
        <f>IFERROR(INDEX(Production[Input 6],MATCH(IslandModel[[#This Row],[Building]],Production[Building],0)),"")</f>
        <v/>
      </c>
      <c r="BN119" s="78"/>
      <c r="BO119"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19"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19"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19" s="35" t="str">
        <f>IFERROR(INDEX(Production[Input 7],MATCH(IslandModel[[#This Row],[Building]],Production[Building],0)),"")</f>
        <v/>
      </c>
      <c r="BS119" s="78"/>
      <c r="BT119"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19"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19"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19" s="35" t="str">
        <f>IFERROR(INDEX(Production[Input 8],MATCH(IslandModel[[#This Row],[Building]],Production[Building],0)),"")</f>
        <v/>
      </c>
      <c r="BX119" s="78"/>
      <c r="BY119"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19"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19"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19" s="35" t="str">
        <f>IFERROR(INDEX(Production[Input 9],MATCH(IslandModel[[#This Row],[Building]],Production[Building],0)),"")</f>
        <v/>
      </c>
      <c r="CC119" s="78"/>
      <c r="CD119"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19"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19"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19" s="35" t="str">
        <f>IFERROR(INDEX(Production[Input 10],MATCH(IslandModel[[#This Row],[Building]],Production[Building],0)),"")</f>
        <v/>
      </c>
      <c r="CH119" s="78"/>
      <c r="CI119"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19"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19"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19"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19" s="82" t="str">
        <f>IslandModel[[#This Row],[Resource Produced]]</f>
        <v/>
      </c>
      <c r="CN119" s="42">
        <f>IslandModel[[#This Row],[Amount produced/h]]</f>
        <v>0</v>
      </c>
      <c r="CO119" s="42" t="str">
        <f>IslandModel[[#This Row],[Input 1]]</f>
        <v/>
      </c>
      <c r="CP119" s="42">
        <f>-IslandModel[[#This Row],[Input 1 Consumed]]</f>
        <v>0</v>
      </c>
      <c r="CQ119" s="42" t="str">
        <f>IslandModel[[#This Row],[Input 2]]</f>
        <v/>
      </c>
      <c r="CR119" s="42">
        <f>-IslandModel[[#This Row],[Input 2 Consumed]]</f>
        <v>0</v>
      </c>
      <c r="CS119" s="42" t="str">
        <f>IslandModel[[#This Row],[Input 3]]</f>
        <v/>
      </c>
      <c r="CT119" s="42">
        <f>-IslandModel[[#This Row],[Input 3 Consumed]]</f>
        <v>0</v>
      </c>
      <c r="CU119" s="42" t="str">
        <f>IslandModel[[#This Row],[Input 4]]</f>
        <v/>
      </c>
      <c r="CV119" s="42">
        <f>-IslandModel[[#This Row],[Input 4 Consumed]]</f>
        <v>0</v>
      </c>
      <c r="CW119" s="42" t="str">
        <f>IslandModel[[#This Row],[Input 5]]</f>
        <v/>
      </c>
      <c r="CX119" s="42">
        <f>-IslandModel[[#This Row],[Input 5 Consumed]]</f>
        <v>0</v>
      </c>
      <c r="CY119" s="42" t="str">
        <f>IslandModel[[#This Row],[Input 6]]</f>
        <v/>
      </c>
      <c r="CZ119" s="42">
        <f>-IslandModel[[#This Row],[Input 6 Consumed]]</f>
        <v>0</v>
      </c>
      <c r="DA119" s="42" t="str">
        <f>IslandModel[[#This Row],[Input 7]]</f>
        <v/>
      </c>
      <c r="DB119" s="42">
        <f>-IslandModel[[#This Row],[Input 7 Consumed]]</f>
        <v>0</v>
      </c>
      <c r="DC119" s="42" t="str">
        <f>IslandModel[[#This Row],[Input 8]]</f>
        <v/>
      </c>
      <c r="DD119" s="42">
        <f>-IslandModel[[#This Row],[Input 8 Consumed]]</f>
        <v>0</v>
      </c>
      <c r="DE119" s="42" t="str">
        <f>IslandModel[[#This Row],[Input 9]]</f>
        <v/>
      </c>
      <c r="DF119" s="42">
        <f>-IslandModel[[#This Row],[Input 9 Consumed]]</f>
        <v>0</v>
      </c>
      <c r="DG119" s="42" t="str">
        <f>IslandModel[[#This Row],[Input 10]]</f>
        <v/>
      </c>
      <c r="DH119" s="42">
        <f>-IslandModel[[#This Row],[Input 10 Consumed]]</f>
        <v>0</v>
      </c>
      <c r="DJ119" s="69" t="s">
        <v>366</v>
      </c>
      <c r="DK119" s="39">
        <f>SUM(SUMIFS(IslandModel[Resource 1 Qty],IslandModel[Resource 1],ResourceAvailable[[#This Row],[Resource]]))</f>
        <v>0</v>
      </c>
      <c r="DL119" s="70">
        <f>-1*SUM(SUMIFS(IslandModel[Resource 2 Qty],IslandModel[Resource 2],ResourceAvailable[[#This Row],[Resource]]),
SUMIFS(IslandModel[Resource 3 Qty],IslandModel[Resource 3],ResourceAvailable[[#This Row],[Resource]]),
SUMIFS(IslandModel[Resource 4 Qty],IslandModel[Resource 4],ResourceAvailable[[#This Row],[Resource]]),
SUMIFS(IslandModel[Resource 5 Qty],IslandModel[Resource 5],ResourceAvailable[[#This Row],[Resource]]),
SUMIFS(IslandModel[Resource 6 Qty],IslandModel[Resource 6],ResourceAvailable[[#This Row],[Resource]]),
SUMIFS(IslandModel[Resource 7 Qty],IslandModel[Resource 7],ResourceAvailable[[#This Row],[Resource]]),
SUMIFS(IslandModel[Resource 8 Qty],IslandModel[Resource 8],ResourceAvailable[[#This Row],[Resource]]),
SUMIFS(IslandModel[Resource 9 Qty],IslandModel[Resource 9],ResourceAvailable[[#This Row],[Resource]]),
SUMIFS(IslandModel[Resource 10 Qty],IslandModel[Resource 10],ResourceAvailable[[#This Row],[Resource]]),
SUMIFS(IslandModel[Resource 11 Qty],IslandModel[Resource 11],ResourceAvailable[[#This Row],[Resource]]))</f>
        <v>0</v>
      </c>
      <c r="DM119" s="39">
        <f>ResourceAvailable[[#This Row],[Amount Produced]]-ResourceAvailable[[#This Row],[Amount Consumed]]</f>
        <v>0</v>
      </c>
      <c r="DN119" s="58">
        <f>MAX(0,ResourceAvailable[[#This Row],[Amount Available for Resident Consumption]]-SUMIFS(ConsumptionModel[Resource Demand],ConsumptionModel[Resource],ResourceAvailable[[#This Row],[Resource]]))</f>
        <v>0</v>
      </c>
    </row>
    <row r="120" spans="30:118" ht="21" x14ac:dyDescent="0.65">
      <c r="AD120" s="83">
        <f>ROW()</f>
        <v>120</v>
      </c>
      <c r="AE120" s="106"/>
      <c r="AF120" s="18"/>
      <c r="AG120" s="18"/>
      <c r="AH120" s="18"/>
      <c r="AI120" s="157">
        <f>IFERROR(IslandModel[[#This Row],[Quantity]]/IslandModel[[#This Row],[Target Quantity]],0)</f>
        <v>0</v>
      </c>
      <c r="AJ120" s="61" t="str">
        <f>IFERROR(INDEX(Production[Resource Produced],MATCH(IslandModel[[#This Row],[Building]],Production[Building],0)),"")</f>
        <v/>
      </c>
      <c r="AK120" s="99">
        <f>IFERROR(IslandModel[[#This Row],[Quantity]]*INDEX(Production[Production in 1h],MATCH(IslandModel[[#This Row],[Building]],Production[Building],0))*IslandModel[[#This Row],[Input Consumption Multiplier]],0)</f>
        <v>0</v>
      </c>
      <c r="AL120" s="115">
        <f>100%</f>
        <v>1</v>
      </c>
      <c r="AM120"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20" s="77" t="str">
        <f>IFERROR(INDEX(Production[Input 1],MATCH(IslandModel[[#This Row],[Building]],Production[Building],0)),"")</f>
        <v/>
      </c>
      <c r="AO120" s="78"/>
      <c r="AP120"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20"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20"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20" s="35" t="str">
        <f>IFERROR(INDEX(Production[Input 2],MATCH(IslandModel[[#This Row],[Building]],Production[Building],0)),"")</f>
        <v/>
      </c>
      <c r="AT120" s="78"/>
      <c r="AU120"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20"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20"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20" s="35" t="str">
        <f>IFERROR(INDEX(Production[Input 3],MATCH(IslandModel[[#This Row],[Building]],Production[Building],0)),"")</f>
        <v/>
      </c>
      <c r="AY120" s="78"/>
      <c r="AZ120"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20"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20"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20" s="35" t="str">
        <f>IFERROR(INDEX(Production[Input 4],MATCH(IslandModel[[#This Row],[Building]],Production[Building],0)),"")</f>
        <v/>
      </c>
      <c r="BD120" s="78"/>
      <c r="BE120"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20"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20"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20" s="35" t="str">
        <f>IFERROR(INDEX(Production[Input 5],MATCH(IslandModel[[#This Row],[Building]],Production[Building],0)),"")</f>
        <v/>
      </c>
      <c r="BI120" s="78"/>
      <c r="BJ120"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20"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20"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20" s="35" t="str">
        <f>IFERROR(INDEX(Production[Input 6],MATCH(IslandModel[[#This Row],[Building]],Production[Building],0)),"")</f>
        <v/>
      </c>
      <c r="BN120" s="78"/>
      <c r="BO120"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20"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20"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20" s="35" t="str">
        <f>IFERROR(INDEX(Production[Input 7],MATCH(IslandModel[[#This Row],[Building]],Production[Building],0)),"")</f>
        <v/>
      </c>
      <c r="BS120" s="78"/>
      <c r="BT120"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20"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20"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20" s="35" t="str">
        <f>IFERROR(INDEX(Production[Input 8],MATCH(IslandModel[[#This Row],[Building]],Production[Building],0)),"")</f>
        <v/>
      </c>
      <c r="BX120" s="78"/>
      <c r="BY120"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20"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20"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20" s="35" t="str">
        <f>IFERROR(INDEX(Production[Input 9],MATCH(IslandModel[[#This Row],[Building]],Production[Building],0)),"")</f>
        <v/>
      </c>
      <c r="CC120" s="78"/>
      <c r="CD120"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20"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20"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20" s="35" t="str">
        <f>IFERROR(INDEX(Production[Input 10],MATCH(IslandModel[[#This Row],[Building]],Production[Building],0)),"")</f>
        <v/>
      </c>
      <c r="CH120" s="78"/>
      <c r="CI120"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20"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20"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20"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20" s="82" t="str">
        <f>IslandModel[[#This Row],[Resource Produced]]</f>
        <v/>
      </c>
      <c r="CN120" s="42">
        <f>IslandModel[[#This Row],[Amount produced/h]]</f>
        <v>0</v>
      </c>
      <c r="CO120" s="42" t="str">
        <f>IslandModel[[#This Row],[Input 1]]</f>
        <v/>
      </c>
      <c r="CP120" s="42">
        <f>-IslandModel[[#This Row],[Input 1 Consumed]]</f>
        <v>0</v>
      </c>
      <c r="CQ120" s="42" t="str">
        <f>IslandModel[[#This Row],[Input 2]]</f>
        <v/>
      </c>
      <c r="CR120" s="42">
        <f>-IslandModel[[#This Row],[Input 2 Consumed]]</f>
        <v>0</v>
      </c>
      <c r="CS120" s="42" t="str">
        <f>IslandModel[[#This Row],[Input 3]]</f>
        <v/>
      </c>
      <c r="CT120" s="42">
        <f>-IslandModel[[#This Row],[Input 3 Consumed]]</f>
        <v>0</v>
      </c>
      <c r="CU120" s="42" t="str">
        <f>IslandModel[[#This Row],[Input 4]]</f>
        <v/>
      </c>
      <c r="CV120" s="42">
        <f>-IslandModel[[#This Row],[Input 4 Consumed]]</f>
        <v>0</v>
      </c>
      <c r="CW120" s="42" t="str">
        <f>IslandModel[[#This Row],[Input 5]]</f>
        <v/>
      </c>
      <c r="CX120" s="42">
        <f>-IslandModel[[#This Row],[Input 5 Consumed]]</f>
        <v>0</v>
      </c>
      <c r="CY120" s="42" t="str">
        <f>IslandModel[[#This Row],[Input 6]]</f>
        <v/>
      </c>
      <c r="CZ120" s="42">
        <f>-IslandModel[[#This Row],[Input 6 Consumed]]</f>
        <v>0</v>
      </c>
      <c r="DA120" s="42" t="str">
        <f>IslandModel[[#This Row],[Input 7]]</f>
        <v/>
      </c>
      <c r="DB120" s="42">
        <f>-IslandModel[[#This Row],[Input 7 Consumed]]</f>
        <v>0</v>
      </c>
      <c r="DC120" s="42" t="str">
        <f>IslandModel[[#This Row],[Input 8]]</f>
        <v/>
      </c>
      <c r="DD120" s="42">
        <f>-IslandModel[[#This Row],[Input 8 Consumed]]</f>
        <v>0</v>
      </c>
      <c r="DE120" s="42" t="str">
        <f>IslandModel[[#This Row],[Input 9]]</f>
        <v/>
      </c>
      <c r="DF120" s="42">
        <f>-IslandModel[[#This Row],[Input 9 Consumed]]</f>
        <v>0</v>
      </c>
      <c r="DG120" s="42" t="str">
        <f>IslandModel[[#This Row],[Input 10]]</f>
        <v/>
      </c>
      <c r="DH120" s="42">
        <f>-IslandModel[[#This Row],[Input 10 Consumed]]</f>
        <v>0</v>
      </c>
    </row>
    <row r="121" spans="30:118" ht="21" x14ac:dyDescent="0.65">
      <c r="AD121" s="83">
        <f>ROW()</f>
        <v>121</v>
      </c>
      <c r="AE121" s="106"/>
      <c r="AF121" s="18"/>
      <c r="AG121" s="18"/>
      <c r="AH121" s="18"/>
      <c r="AI121" s="157">
        <f>IFERROR(IslandModel[[#This Row],[Quantity]]/IslandModel[[#This Row],[Target Quantity]],0)</f>
        <v>0</v>
      </c>
      <c r="AJ121" s="61" t="str">
        <f>IFERROR(INDEX(Production[Resource Produced],MATCH(IslandModel[[#This Row],[Building]],Production[Building],0)),"")</f>
        <v/>
      </c>
      <c r="AK121" s="99">
        <f>IFERROR(IslandModel[[#This Row],[Quantity]]*INDEX(Production[Production in 1h],MATCH(IslandModel[[#This Row],[Building]],Production[Building],0))*IslandModel[[#This Row],[Input Consumption Multiplier]],0)</f>
        <v>0</v>
      </c>
      <c r="AL121" s="115">
        <f>100%</f>
        <v>1</v>
      </c>
      <c r="AM121" s="114" t="str">
        <f>IFERROR(MID(
IF(AND(IslandModel[[#This Row],[Input 1]]&lt;&gt;"",IslandModel[[#This Row],[Input 1 Available]]&lt;IslandModel[[#This Row],[Input 1 Needed]]),", "&amp;IslandModel[[#This Row],[Input 1]]&amp;": "&amp;ROUND(IslandModel[[#This Row],[Input 1 Available]],3)&amp;"/"&amp;ROUND(IslandModel[[#This Row],[Input 1 Needed]],3),"")
&amp;IF(AND(IslandModel[[#This Row],[Input 2]]&lt;&gt;"",IslandModel[[#This Row],[Input 2 Available]]&lt;IslandModel[[#This Row],[Input 2 Needed]]),", "&amp;IslandModel[[#This Row],[Input 2]]&amp;": "&amp;ROUND(IslandModel[[#This Row],[Input 2 Available]],3)&amp;"/"&amp;ROUND(IslandModel[[#This Row],[Input 2 Needed]],3),"")
&amp;IF(AND(IslandModel[[#This Row],[Input 3]]&lt;&gt;"",IslandModel[[#This Row],[Input 3 Available]]&lt;IslandModel[[#This Row],[Input 3 Needed]]),", "&amp;IslandModel[[#This Row],[Input 3]]&amp;": "&amp;ROUND(IslandModel[[#This Row],[Input 3 Available]],3)&amp;"/"&amp;ROUND(IslandModel[[#This Row],[Input 3 Needed]],3),"")
&amp;IF(AND(IslandModel[[#This Row],[Input 4]]&lt;&gt;"",IslandModel[[#This Row],[Input 4 Available]]&lt;IslandModel[[#This Row],[Input 4 Needed]]),", "&amp;IslandModel[[#This Row],[Input 4]]&amp;": "&amp;ROUND(IslandModel[[#This Row],[Input 4 Available]],3)&amp;"/"&amp;ROUND(IslandModel[[#This Row],[Input 4 Needed]],3),"")
&amp;IF(AND(IslandModel[[#This Row],[Input 5]]&lt;&gt;"",IslandModel[[#This Row],[Input 5 Available]]&lt;IslandModel[[#This Row],[Input 5 Needed]]),", "&amp;IslandModel[[#This Row],[Input 5]]&amp;": "&amp;ROUND(IslandModel[[#This Row],[Input 5 Available]],3)&amp;"/"&amp;ROUND(IslandModel[[#This Row],[Input 5 Needed]],3),"")
&amp;IF(AND(IslandModel[[#This Row],[Input 6]]&lt;&gt;"",IslandModel[[#This Row],[Input 6 Available]]&lt;IslandModel[[#This Row],[Input 6 Needed]]),", "&amp;IslandModel[[#This Row],[Input 6]]&amp;": "&amp;ROUND(IslandModel[[#This Row],[Input 6 Available]],3)&amp;"/"&amp;ROUND(IslandModel[[#This Row],[Input 6 Needed]],3),"")
&amp;IF(AND(IslandModel[[#This Row],[Input 7]]&lt;&gt;"",IslandModel[[#This Row],[Input 7 Available]]&lt;IslandModel[[#This Row],[Input 7 Needed]]),", "&amp;IslandModel[[#This Row],[Input 7]]&amp;": "&amp;ROUND(IslandModel[[#This Row],[Input 7 Available]],3)&amp;"/"&amp;ROUND(IslandModel[[#This Row],[Input 7 Needed]],3),"")
&amp;IF(AND(IslandModel[[#This Row],[Input 8]]&lt;&gt;"",IslandModel[[#This Row],[Input 8 Available]]&lt;IslandModel[[#This Row],[Input 8 Needed]]),", "&amp;IslandModel[[#This Row],[Input 8]]&amp;": "&amp;ROUND(IslandModel[[#This Row],[Input 8 Available]],3)&amp;"/"&amp;ROUND(IslandModel[[#This Row],[Input 8 Needed]],3),"")
&amp;IF(AND(IslandModel[[#This Row],[Input 9]]&lt;&gt;"",IslandModel[[#This Row],[Input 9 Available]]&lt;IslandModel[[#This Row],[Input 9 Needed]]),", "&amp;IslandModel[[#This Row],[Input 9]]&amp;": "&amp;ROUND(IslandModel[[#This Row],[Input 9 Available]],3)&amp;"/"&amp;ROUND(IslandModel[[#This Row],[Input 9 Needed]],3),"")
&amp;IF(AND(IslandModel[[#This Row],[Input 10]]&lt;&gt;"",IslandModel[[#This Row],[Input 10 Available]]&lt;IslandModel[[#This Row],[Input 10 Needed]]),", "&amp;IslandModel[[#This Row],[Input 10]]&amp;": "&amp;ROUND(IslandModel[[#This Row],[Input 10 Available]],3)&amp;"/"&amp;ROUND(IslandModel[[#This Row],[Input 10 Needed]],3),""),3,999),"")</f>
        <v/>
      </c>
      <c r="AN121" s="77" t="str">
        <f>IFERROR(INDEX(Production[Input 1],MATCH(IslandModel[[#This Row],[Building]],Production[Building],0)),"")</f>
        <v/>
      </c>
      <c r="AO121" s="78"/>
      <c r="AP121" s="79" t="str">
        <f>IFERROR(
INDEX(Production[Input 1 Quantity],MATCH(IslandModel[[#This Row],[Building]],Production[Building],0))
*IslandModel[[#This Row],[Quantity]]
*IF(OR(IslandModel[[#This Row],[Input 1]]="Land tile",IslandModel[[#This Row],[Input 1]]="Water tile",IslandModel[[#This Row],[Input 1]]="Mountain tile"),1,INDEX(Production[Consumption multiplier],MATCH(IslandModel[[#This Row],[Building]],Production[Building],0))),"")</f>
        <v/>
      </c>
      <c r="AQ121" s="41">
        <f>IF(OR(IslandModel[[#This Row],[Assume All Inputs Are Available?]]="Yes",IslandModel[[#This Row],[Input 1 Assume Available]]="Yes"),IslandModel[[#This Row],[Input 1 Needed]],
SUM(SUMIFS(IslandModel[Resource 1 Qty],IslandModel[Resource 1],IslandModel[[#This Row],[Input 1]],IslandModel[ROW ID],"&lt;"&amp;ROW()),
SUMIFS(IslandModel[Resource 2 Qty],IslandModel[Resource 2],IslandModel[[#This Row],[Input 1]],IslandModel[ROW ID],"&lt;"&amp;ROW()),
SUMIFS(IslandModel[Resource 3 Qty],IslandModel[Resource 3],IslandModel[[#This Row],[Input 1]],IslandModel[ROW ID],"&lt;"&amp;ROW()),
SUMIFS(IslandModel[Resource 4 Qty],IslandModel[Resource 4],IslandModel[[#This Row],[Input 1]],IslandModel[ROW ID],"&lt;"&amp;ROW()),
SUMIFS(IslandModel[Resource 5 Qty],IslandModel[Resource 5],IslandModel[[#This Row],[Input 1]],IslandModel[ROW ID],"&lt;"&amp;ROW()),
SUMIFS(IslandModel[Resource 6 Qty],IslandModel[Resource 6],IslandModel[[#This Row],[Input 1]],IslandModel[ROW ID],"&lt;"&amp;ROW()),
SUMIFS(IslandModel[Resource 7 Qty],IslandModel[Resource 7],IslandModel[[#This Row],[Input 1]],IslandModel[ROW ID],"&lt;"&amp;ROW()),
SUMIFS(IslandModel[Resource 8 Qty],IslandModel[Resource 8],IslandModel[[#This Row],[Input 1]],IslandModel[ROW ID],"&lt;"&amp;ROW()),
SUMIFS(IslandModel[Resource 9 Qty],IslandModel[Resource 9],IslandModel[[#This Row],[Input 1]],IslandModel[ROW ID],"&lt;"&amp;ROW()),
SUMIFS(IslandModel[Resource 10 Qty],IslandModel[Resource 10],IslandModel[[#This Row],[Input 1]],IslandModel[ROW ID],"&lt;"&amp;ROW()),
SUMIFS(IslandModel[Resource 11 Qty],IslandModel[Resource 11],IslandModel[[#This Row],[Input 1]],IslandModel[ROW ID],"&lt;"&amp;ROW())
))</f>
        <v>0</v>
      </c>
      <c r="AR121" s="79">
        <f>IF(OR(IslandModel[[#This Row],[Assume All Inputs Are Available?]]="Yes",IslandModel[[#This Row],[Input 1 Assume Available]]="Yes"),0,
IFERROR(MIN(IslandModel[[#This Row],[Input Consumption Multiplier]]*IslandModel[[#This Row],[Input 1 Needed]],IslandModel[[#This Row],[Input 1 Available]],IslandModel[[#This Row],[Input 1 Needed]]),0))</f>
        <v>0</v>
      </c>
      <c r="AS121" s="35" t="str">
        <f>IFERROR(INDEX(Production[Input 2],MATCH(IslandModel[[#This Row],[Building]],Production[Building],0)),"")</f>
        <v/>
      </c>
      <c r="AT121" s="78"/>
      <c r="AU121" s="41" t="str">
        <f>IFERROR(
INDEX(Production[Input 2 Quantity],MATCH(IslandModel[[#This Row],[Building]],Production[Building],0))
*IslandModel[[#This Row],[Quantity]]
*IF(OR(IslandModel[[#This Row],[Input 2]]="Land tile",IslandModel[[#This Row],[Input 2]]="Water tile",IslandModel[[#This Row],[Input 2]]="Mountain tile"),1,INDEX(Production[Consumption multiplier],MATCH(IslandModel[[#This Row],[Building]],Production[Building],0))),"")</f>
        <v/>
      </c>
      <c r="AV121" s="41">
        <f>IF(OR(IslandModel[[#This Row],[Assume All Inputs Are Available?]]="Yes",IslandModel[[#This Row],[Input 2 Assume Available]]="Yes"),IslandModel[[#This Row],[Input 2 Needed]],
SUM(SUMIFS(IslandModel[Resource 1 Qty],IslandModel[Resource 1],IslandModel[[#This Row],[Input 2]],IslandModel[ROW ID],"&lt;"&amp;ROW()),
SUMIFS(IslandModel[Resource 2 Qty],IslandModel[Resource 2],IslandModel[[#This Row],[Input 2]],IslandModel[ROW ID],"&lt;"&amp;ROW()),
SUMIFS(IslandModel[Resource 3 Qty],IslandModel[Resource 3],IslandModel[[#This Row],[Input 2]],IslandModel[ROW ID],"&lt;"&amp;ROW()),
SUMIFS(IslandModel[Resource 4 Qty],IslandModel[Resource 4],IslandModel[[#This Row],[Input 2]],IslandModel[ROW ID],"&lt;"&amp;ROW()),
SUMIFS(IslandModel[Resource 5 Qty],IslandModel[Resource 5],IslandModel[[#This Row],[Input 2]],IslandModel[ROW ID],"&lt;"&amp;ROW()),
SUMIFS(IslandModel[Resource 6 Qty],IslandModel[Resource 6],IslandModel[[#This Row],[Input 2]],IslandModel[ROW ID],"&lt;"&amp;ROW()),
SUMIFS(IslandModel[Resource 7 Qty],IslandModel[Resource 7],IslandModel[[#This Row],[Input 2]],IslandModel[ROW ID],"&lt;"&amp;ROW()),
SUMIFS(IslandModel[Resource 8 Qty],IslandModel[Resource 8],IslandModel[[#This Row],[Input 2]],IslandModel[ROW ID],"&lt;"&amp;ROW()),
SUMIFS(IslandModel[Resource 9 Qty],IslandModel[Resource 9],IslandModel[[#This Row],[Input 2]],IslandModel[ROW ID],"&lt;"&amp;ROW()),
SUMIFS(IslandModel[Resource 10 Qty],IslandModel[Resource 10],IslandModel[[#This Row],[Input 2]],IslandModel[ROW ID],"&lt;"&amp;ROW()),
SUMIFS(IslandModel[Resource 11 Qty],IslandModel[Resource 11],IslandModel[[#This Row],[Input 2]],IslandModel[ROW ID],"&lt;"&amp;ROW())
))</f>
        <v>0</v>
      </c>
      <c r="AW121" s="41">
        <f>IF(OR(IslandModel[[#This Row],[Assume All Inputs Are Available?]]="Yes",IslandModel[[#This Row],[Input 2 Assume Available]]="Yes"),0,
IFERROR(MIN(IslandModel[[#This Row],[Input Consumption Multiplier]]*IslandModel[[#This Row],[Input 2 Needed]],IslandModel[[#This Row],[Input 2 Available]],IslandModel[[#This Row],[Input 2 Needed]]),0))</f>
        <v>0</v>
      </c>
      <c r="AX121" s="35" t="str">
        <f>IFERROR(INDEX(Production[Input 3],MATCH(IslandModel[[#This Row],[Building]],Production[Building],0)),"")</f>
        <v/>
      </c>
      <c r="AY121" s="78"/>
      <c r="AZ121" s="41" t="str">
        <f>IFERROR(
INDEX(Production[Input 3 Quantity],MATCH(IslandModel[[#This Row],[Building]],Production[Building],0))
*IslandModel[[#This Row],[Quantity]]
*IF(OR(IslandModel[[#This Row],[Input 3]]="Land tile",IslandModel[[#This Row],[Input 3]]="Water tile",IslandModel[[#This Row],[Input 3]]="Mountain tile"),1,INDEX(Production[Consumption multiplier],MATCH(IslandModel[[#This Row],[Building]],Production[Building],0))),"")</f>
        <v/>
      </c>
      <c r="BA121" s="41">
        <f>IF(OR(IslandModel[[#This Row],[Assume All Inputs Are Available?]]="Yes",IslandModel[[#This Row],[Input 3 Assume Available]]="Yes"),IslandModel[[#This Row],[Input 3 Needed]],
SUM(SUMIFS(IslandModel[Resource 1 Qty],IslandModel[Resource 1],IslandModel[[#This Row],[Input 3]],IslandModel[ROW ID],"&lt;"&amp;ROW()),
SUMIFS(IslandModel[Resource 2 Qty],IslandModel[Resource 2],IslandModel[[#This Row],[Input 3]],IslandModel[ROW ID],"&lt;"&amp;ROW()),
SUMIFS(IslandModel[Resource 3 Qty],IslandModel[Resource 3],IslandModel[[#This Row],[Input 3]],IslandModel[ROW ID],"&lt;"&amp;ROW()),
SUMIFS(IslandModel[Resource 4 Qty],IslandModel[Resource 4],IslandModel[[#This Row],[Input 3]],IslandModel[ROW ID],"&lt;"&amp;ROW()),
SUMIFS(IslandModel[Resource 5 Qty],IslandModel[Resource 5],IslandModel[[#This Row],[Input 3]],IslandModel[ROW ID],"&lt;"&amp;ROW()),
SUMIFS(IslandModel[Resource 6 Qty],IslandModel[Resource 6],IslandModel[[#This Row],[Input 3]],IslandModel[ROW ID],"&lt;"&amp;ROW()),
SUMIFS(IslandModel[Resource 7 Qty],IslandModel[Resource 7],IslandModel[[#This Row],[Input 3]],IslandModel[ROW ID],"&lt;"&amp;ROW()),
SUMIFS(IslandModel[Resource 8 Qty],IslandModel[Resource 8],IslandModel[[#This Row],[Input 3]],IslandModel[ROW ID],"&lt;"&amp;ROW()),
SUMIFS(IslandModel[Resource 9 Qty],IslandModel[Resource 9],IslandModel[[#This Row],[Input 3]],IslandModel[ROW ID],"&lt;"&amp;ROW()),
SUMIFS(IslandModel[Resource 10 Qty],IslandModel[Resource 10],IslandModel[[#This Row],[Input 3]],IslandModel[ROW ID],"&lt;"&amp;ROW()),
SUMIFS(IslandModel[Resource 11 Qty],IslandModel[Resource 11],IslandModel[[#This Row],[Input 3]],IslandModel[ROW ID],"&lt;"&amp;ROW())
))</f>
        <v>0</v>
      </c>
      <c r="BB121" s="41">
        <f>IF(OR(IslandModel[[#This Row],[Assume All Inputs Are Available?]]="Yes",IslandModel[[#This Row],[Input 3 Assume Available]]="Yes"),0,
IFERROR(MIN(IslandModel[[#This Row],[Input Consumption Multiplier]]*IslandModel[[#This Row],[Input 3 Needed]],IslandModel[[#This Row],[Input 3 Available]],IslandModel[[#This Row],[Input 3 Needed]]),0))</f>
        <v>0</v>
      </c>
      <c r="BC121" s="35" t="str">
        <f>IFERROR(INDEX(Production[Input 4],MATCH(IslandModel[[#This Row],[Building]],Production[Building],0)),"")</f>
        <v/>
      </c>
      <c r="BD121" s="78"/>
      <c r="BE121" s="41" t="str">
        <f>IFERROR(
INDEX(Production[Input 4 Quantity],MATCH(IslandModel[[#This Row],[Building]],Production[Building],0))
*IslandModel[[#This Row],[Quantity]]
*IF(OR(IslandModel[[#This Row],[Input 4]]="Land tile",IslandModel[[#This Row],[Input 4]]="Water tile",IslandModel[[#This Row],[Input 4]]="Mountain tile"),1,INDEX(Production[Consumption multiplier],MATCH(IslandModel[[#This Row],[Building]],Production[Building],0))),"")</f>
        <v/>
      </c>
      <c r="BF121" s="41">
        <f>IF(OR(IslandModel[[#This Row],[Assume All Inputs Are Available?]]="Yes",IslandModel[[#This Row],[Input 4 Assume Available]]="Yes"),IslandModel[[#This Row],[Input 4 Needed]],
SUM(SUMIFS(IslandModel[Resource 1 Qty],IslandModel[Resource 1],IslandModel[[#This Row],[Input 4]],IslandModel[ROW ID],"&lt;"&amp;ROW()),
SUMIFS(IslandModel[Resource 2 Qty],IslandModel[Resource 2],IslandModel[[#This Row],[Input 4]],IslandModel[ROW ID],"&lt;"&amp;ROW()),
SUMIFS(IslandModel[Resource 3 Qty],IslandModel[Resource 3],IslandModel[[#This Row],[Input 4]],IslandModel[ROW ID],"&lt;"&amp;ROW()),
SUMIFS(IslandModel[Resource 4 Qty],IslandModel[Resource 4],IslandModel[[#This Row],[Input 4]],IslandModel[ROW ID],"&lt;"&amp;ROW()),
SUMIFS(IslandModel[Resource 5 Qty],IslandModel[Resource 5],IslandModel[[#This Row],[Input 4]],IslandModel[ROW ID],"&lt;"&amp;ROW()),
SUMIFS(IslandModel[Resource 6 Qty],IslandModel[Resource 6],IslandModel[[#This Row],[Input 4]],IslandModel[ROW ID],"&lt;"&amp;ROW()),
SUMIFS(IslandModel[Resource 7 Qty],IslandModel[Resource 7],IslandModel[[#This Row],[Input 4]],IslandModel[ROW ID],"&lt;"&amp;ROW()),
SUMIFS(IslandModel[Resource 8 Qty],IslandModel[Resource 8],IslandModel[[#This Row],[Input 4]],IslandModel[ROW ID],"&lt;"&amp;ROW()),
SUMIFS(IslandModel[Resource 9 Qty],IslandModel[Resource 9],IslandModel[[#This Row],[Input 4]],IslandModel[ROW ID],"&lt;"&amp;ROW()),
SUMIFS(IslandModel[Resource 10 Qty],IslandModel[Resource 10],IslandModel[[#This Row],[Input 4]],IslandModel[ROW ID],"&lt;"&amp;ROW()),
SUMIFS(IslandModel[Resource 11 Qty],IslandModel[Resource 11],IslandModel[[#This Row],[Input 4]],IslandModel[ROW ID],"&lt;"&amp;ROW())
))</f>
        <v>0</v>
      </c>
      <c r="BG121" s="80">
        <f>IF(OR(IslandModel[[#This Row],[Assume All Inputs Are Available?]]="Yes",IslandModel[[#This Row],[Input 4 Assume Available]]="Yes"),0,IFERROR(MIN(IslandModel[[#This Row],[Input Consumption Multiplier]]*IslandModel[[#This Row],[Input 4 Needed]],IslandModel[[#This Row],[Input 4 Available]],IslandModel[[#This Row],[Input 4 Needed]]),0))</f>
        <v>0</v>
      </c>
      <c r="BH121" s="35" t="str">
        <f>IFERROR(INDEX(Production[Input 5],MATCH(IslandModel[[#This Row],[Building]],Production[Building],0)),"")</f>
        <v/>
      </c>
      <c r="BI121" s="78"/>
      <c r="BJ121" s="41" t="str">
        <f>IFERROR(
INDEX(Production[Input 5 Quantity],MATCH(IslandModel[[#This Row],[Building]],Production[Building],0))
*IslandModel[[#This Row],[Quantity]]
*IF(OR(IslandModel[[#This Row],[Input 5]]="Land tile",IslandModel[[#This Row],[Input 5]]="Water tile",IslandModel[[#This Row],[Input 5]]="Mountain tile"),1,INDEX(Production[Consumption multiplier],MATCH(IslandModel[[#This Row],[Building]],Production[Building],0))),"")</f>
        <v/>
      </c>
      <c r="BK121" s="41">
        <f>IF(OR(IslandModel[[#This Row],[Assume All Inputs Are Available?]]="Yes",IslandModel[[#This Row],[Input 5 Assume Available]]="Yes"),IslandModel[[#This Row],[Input 5 Needed]],
SUM(SUMIFS(IslandModel[Resource 1 Qty],IslandModel[Resource 1],IslandModel[[#This Row],[Input 5]],IslandModel[ROW ID],"&lt;"&amp;ROW()),
SUMIFS(IslandModel[Resource 2 Qty],IslandModel[Resource 2],IslandModel[[#This Row],[Input 5]],IslandModel[ROW ID],"&lt;"&amp;ROW()),
SUMIFS(IslandModel[Resource 3 Qty],IslandModel[Resource 3],IslandModel[[#This Row],[Input 5]],IslandModel[ROW ID],"&lt;"&amp;ROW()),
SUMIFS(IslandModel[Resource 4 Qty],IslandModel[Resource 4],IslandModel[[#This Row],[Input 5]],IslandModel[ROW ID],"&lt;"&amp;ROW()),
SUMIFS(IslandModel[Resource 5 Qty],IslandModel[Resource 5],IslandModel[[#This Row],[Input 5]],IslandModel[ROW ID],"&lt;"&amp;ROW()),
SUMIFS(IslandModel[Resource 6 Qty],IslandModel[Resource 6],IslandModel[[#This Row],[Input 5]],IslandModel[ROW ID],"&lt;"&amp;ROW()),
SUMIFS(IslandModel[Resource 7 Qty],IslandModel[Resource 7],IslandModel[[#This Row],[Input 5]],IslandModel[ROW ID],"&lt;"&amp;ROW()),
SUMIFS(IslandModel[Resource 8 Qty],IslandModel[Resource 8],IslandModel[[#This Row],[Input 5]],IslandModel[ROW ID],"&lt;"&amp;ROW()),
SUMIFS(IslandModel[Resource 9 Qty],IslandModel[Resource 9],IslandModel[[#This Row],[Input 5]],IslandModel[ROW ID],"&lt;"&amp;ROW()),
SUMIFS(IslandModel[Resource 10 Qty],IslandModel[Resource 10],IslandModel[[#This Row],[Input 5]],IslandModel[ROW ID],"&lt;"&amp;ROW()),
SUMIFS(IslandModel[Resource 11 Qty],IslandModel[Resource 11],IslandModel[[#This Row],[Input 5]],IslandModel[ROW ID],"&lt;"&amp;ROW())
))</f>
        <v>0</v>
      </c>
      <c r="BL121" s="80">
        <f>IF(OR(IslandModel[[#This Row],[Assume All Inputs Are Available?]]="Yes",IslandModel[[#This Row],[Input 5 Assume Available]]="Yes"),0,IFERROR(MIN(IslandModel[[#This Row],[Input Consumption Multiplier]]*IslandModel[[#This Row],[Input 5 Needed]],IslandModel[[#This Row],[Input 5 Available]],IslandModel[[#This Row],[Input 5 Needed]]),0))</f>
        <v>0</v>
      </c>
      <c r="BM121" s="35" t="str">
        <f>IFERROR(INDEX(Production[Input 6],MATCH(IslandModel[[#This Row],[Building]],Production[Building],0)),"")</f>
        <v/>
      </c>
      <c r="BN121" s="78"/>
      <c r="BO121" s="41" t="str">
        <f>IFERROR(
INDEX(Production[Input 6 Quantity],MATCH(IslandModel[[#This Row],[Building]],Production[Building],0))
*IslandModel[[#This Row],[Quantity]]
*IF(OR(IslandModel[[#This Row],[Input 6]]="Land tile",IslandModel[[#This Row],[Input 6]]="Water tile",IslandModel[[#This Row],[Input 6]]="Mountain tile"),1,INDEX(Production[Consumption multiplier],MATCH(IslandModel[[#This Row],[Building]],Production[Building],0))),"")</f>
        <v/>
      </c>
      <c r="BP121" s="41">
        <f>IF(OR(IslandModel[[#This Row],[Assume All Inputs Are Available?]]="Yes",IslandModel[[#This Row],[Input 6 Assume Available]]="Yes"),IslandModel[[#This Row],[Input 6 Needed]],
SUM(SUMIFS(IslandModel[Resource 1 Qty],IslandModel[Resource 1],IslandModel[[#This Row],[Input 6]],IslandModel[ROW ID],"&lt;"&amp;ROW()),
SUMIFS(IslandModel[Resource 2 Qty],IslandModel[Resource 2],IslandModel[[#This Row],[Input 6]],IslandModel[ROW ID],"&lt;"&amp;ROW()),
SUMIFS(IslandModel[Resource 3 Qty],IslandModel[Resource 3],IslandModel[[#This Row],[Input 6]],IslandModel[ROW ID],"&lt;"&amp;ROW()),
SUMIFS(IslandModel[Resource 4 Qty],IslandModel[Resource 4],IslandModel[[#This Row],[Input 6]],IslandModel[ROW ID],"&lt;"&amp;ROW()),
SUMIFS(IslandModel[Resource 5 Qty],IslandModel[Resource 5],IslandModel[[#This Row],[Input 6]],IslandModel[ROW ID],"&lt;"&amp;ROW()),
SUMIFS(IslandModel[Resource 6 Qty],IslandModel[Resource 6],IslandModel[[#This Row],[Input 6]],IslandModel[ROW ID],"&lt;"&amp;ROW()),
SUMIFS(IslandModel[Resource 7 Qty],IslandModel[Resource 7],IslandModel[[#This Row],[Input 6]],IslandModel[ROW ID],"&lt;"&amp;ROW()),
SUMIFS(IslandModel[Resource 8 Qty],IslandModel[Resource 8],IslandModel[[#This Row],[Input 6]],IslandModel[ROW ID],"&lt;"&amp;ROW()),
SUMIFS(IslandModel[Resource 9 Qty],IslandModel[Resource 9],IslandModel[[#This Row],[Input 6]],IslandModel[ROW ID],"&lt;"&amp;ROW()),
SUMIFS(IslandModel[Resource 10 Qty],IslandModel[Resource 10],IslandModel[[#This Row],[Input 6]],IslandModel[ROW ID],"&lt;"&amp;ROW()),
SUMIFS(IslandModel[Resource 11 Qty],IslandModel[Resource 11],IslandModel[[#This Row],[Input 7]],IslandModel[ROW ID],"&lt;"&amp;ROW())
))</f>
        <v>0</v>
      </c>
      <c r="BQ121" s="80">
        <f>IF(OR(IslandModel[[#This Row],[Assume All Inputs Are Available?]]="Yes",IslandModel[[#This Row],[Input 6 Assume Available]]="Yes"),0,IFERROR(MIN(IslandModel[[#This Row],[Input Consumption Multiplier]]*IslandModel[[#This Row],[Input 6 Needed]],IslandModel[[#This Row],[Input 6 Available]],IslandModel[[#This Row],[Input 6 Needed]]),0))</f>
        <v>0</v>
      </c>
      <c r="BR121" s="35" t="str">
        <f>IFERROR(INDEX(Production[Input 7],MATCH(IslandModel[[#This Row],[Building]],Production[Building],0)),"")</f>
        <v/>
      </c>
      <c r="BS121" s="78"/>
      <c r="BT121" s="41" t="str">
        <f>IFERROR(
INDEX(Production[Input 7 Quantity],MATCH(IslandModel[[#This Row],[Building]],Production[Building],0))
*IslandModel[[#This Row],[Quantity]]
*IF(OR(IslandModel[[#This Row],[Input 7]]="Land tile",IslandModel[[#This Row],[Input 7]]="Water tile",IslandModel[[#This Row],[Input 7]]="Mountain tile"),1,INDEX(Production[Consumption multiplier],MATCH(IslandModel[[#This Row],[Building]],Production[Building],0))),"")</f>
        <v/>
      </c>
      <c r="BU121" s="41">
        <f>IF(OR(IslandModel[[#This Row],[Assume All Inputs Are Available?]]="Yes",IslandModel[[#This Row],[Input 7 Assume Available]]="Yes"),IslandModel[[#This Row],[Input 7 Needed]],
SUM(SUMIFS(IslandModel[Resource 1 Qty],IslandModel[Resource 1],IslandModel[[#This Row],[Input 7]],IslandModel[ROW ID],"&lt;"&amp;ROW()),
SUMIFS(IslandModel[Resource 2 Qty],IslandModel[Resource 2],IslandModel[[#This Row],[Input 7]],IslandModel[ROW ID],"&lt;"&amp;ROW()),
SUMIFS(IslandModel[Resource 3 Qty],IslandModel[Resource 3],IslandModel[[#This Row],[Input 7]],IslandModel[ROW ID],"&lt;"&amp;ROW()),
SUMIFS(IslandModel[Resource 4 Qty],IslandModel[Resource 4],IslandModel[[#This Row],[Input 7]],IslandModel[ROW ID],"&lt;"&amp;ROW()),
SUMIFS(IslandModel[Resource 5 Qty],IslandModel[Resource 5],IslandModel[[#This Row],[Input 7]],IslandModel[ROW ID],"&lt;"&amp;ROW()),
SUMIFS(IslandModel[Resource 6 Qty],IslandModel[Resource 6],IslandModel[[#This Row],[Input 7]],IslandModel[ROW ID],"&lt;"&amp;ROW()),
SUMIFS(IslandModel[Resource 7 Qty],IslandModel[Resource 7],IslandModel[[#This Row],[Input 7]],IslandModel[ROW ID],"&lt;"&amp;ROW()),
SUMIFS(IslandModel[Resource 8 Qty],IslandModel[Resource 8],IslandModel[[#This Row],[Input 7]],IslandModel[ROW ID],"&lt;"&amp;ROW()),
SUMIFS(IslandModel[Resource 9 Qty],IslandModel[Resource 9],IslandModel[[#This Row],[Input 7]],IslandModel[ROW ID],"&lt;"&amp;ROW()),
SUMIFS(IslandModel[Resource 10 Qty],IslandModel[Resource 10],IslandModel[[#This Row],[Input 7]],IslandModel[ROW ID],"&lt;"&amp;ROW()),
SUMIFS(IslandModel[Resource 11 Qty],IslandModel[Resource 11],IslandModel[[#This Row],[Input 7]],IslandModel[ROW ID],"&lt;"&amp;ROW())
))</f>
        <v>0</v>
      </c>
      <c r="BV121" s="80">
        <f>IF(OR(IslandModel[[#This Row],[Assume All Inputs Are Available?]]="Yes",IslandModel[[#This Row],[Input 7 Assume Available]]="Yes"),0,IFERROR(MIN(IslandModel[[#This Row],[Input Consumption Multiplier]]*IslandModel[[#This Row],[Input 7 Needed]],IslandModel[[#This Row],[Input 7 Available]],IslandModel[[#This Row],[Input 7 Needed]]),0))</f>
        <v>0</v>
      </c>
      <c r="BW121" s="35" t="str">
        <f>IFERROR(INDEX(Production[Input 8],MATCH(IslandModel[[#This Row],[Building]],Production[Building],0)),"")</f>
        <v/>
      </c>
      <c r="BX121" s="78"/>
      <c r="BY121" s="41" t="str">
        <f>IFERROR(
INDEX(Production[Input 8 Quantity],MATCH(IslandModel[[#This Row],[Building]],Production[Building],0))
*IslandModel[[#This Row],[Quantity]]
*IF(OR(IslandModel[[#This Row],[Input 8]]="Land tile",IslandModel[[#This Row],[Input 8]]="Water tile",IslandModel[[#This Row],[Input 8]]="Mountain tile"),1,INDEX(Production[Consumption multiplier],MATCH(IslandModel[[#This Row],[Building]],Production[Building],0))),"")</f>
        <v/>
      </c>
      <c r="BZ121" s="41">
        <f>IF(OR(IslandModel[[#This Row],[Assume All Inputs Are Available?]]="Yes",IslandModel[[#This Row],[Input 8 Assume Available]]="Yes"),IslandModel[[#This Row],[Input 8 Needed]],
SUM(SUMIFS(IslandModel[Resource 1 Qty],IslandModel[Resource 1],IslandModel[[#This Row],[Input 8]],IslandModel[ROW ID],"&lt;"&amp;ROW()),
SUMIFS(IslandModel[Resource 2 Qty],IslandModel[Resource 2],IslandModel[[#This Row],[Input 8]],IslandModel[ROW ID],"&lt;"&amp;ROW()),
SUMIFS(IslandModel[Resource 3 Qty],IslandModel[Resource 3],IslandModel[[#This Row],[Input 8]],IslandModel[ROW ID],"&lt;"&amp;ROW()),
SUMIFS(IslandModel[Resource 4 Qty],IslandModel[Resource 4],IslandModel[[#This Row],[Input 8]],IslandModel[ROW ID],"&lt;"&amp;ROW()),
SUMIFS(IslandModel[Resource 5 Qty],IslandModel[Resource 5],IslandModel[[#This Row],[Input 8]],IslandModel[ROW ID],"&lt;"&amp;ROW()),
SUMIFS(IslandModel[Resource 6 Qty],IslandModel[Resource 6],IslandModel[[#This Row],[Input 8]],IslandModel[ROW ID],"&lt;"&amp;ROW()),
SUMIFS(IslandModel[Resource 7 Qty],IslandModel[Resource 7],IslandModel[[#This Row],[Input 8]],IslandModel[ROW ID],"&lt;"&amp;ROW()),
SUMIFS(IslandModel[Resource 8 Qty],IslandModel[Resource 8],IslandModel[[#This Row],[Input 8]],IslandModel[ROW ID],"&lt;"&amp;ROW()),
SUMIFS(IslandModel[Resource 9 Qty],IslandModel[Resource 9],IslandModel[[#This Row],[Input 8]],IslandModel[ROW ID],"&lt;"&amp;ROW()),
SUMIFS(IslandModel[Resource 10 Qty],IslandModel[Resource 10],IslandModel[[#This Row],[Input 8]],IslandModel[ROW ID],"&lt;"&amp;ROW()),
SUMIFS(IslandModel[Resource 11 Qty],IslandModel[Resource 11],IslandModel[[#This Row],[Input 8]],IslandModel[ROW ID],"&lt;"&amp;ROW())
))</f>
        <v>0</v>
      </c>
      <c r="CA121" s="80">
        <f>IF(OR(IslandModel[[#This Row],[Assume All Inputs Are Available?]]="Yes",IslandModel[[#This Row],[Input 8 Assume Available]]="Yes"),0,IFERROR(MIN(IslandModel[[#This Row],[Input Consumption Multiplier]]*IslandModel[[#This Row],[Input 8 Needed]],IslandModel[[#This Row],[Input 8 Available]],IslandModel[[#This Row],[Input 8 Needed]]),0))</f>
        <v>0</v>
      </c>
      <c r="CB121" s="35" t="str">
        <f>IFERROR(INDEX(Production[Input 9],MATCH(IslandModel[[#This Row],[Building]],Production[Building],0)),"")</f>
        <v/>
      </c>
      <c r="CC121" s="78"/>
      <c r="CD121" s="41" t="str">
        <f>IFERROR(
INDEX(Production[Input 9 Quantity],MATCH(IslandModel[[#This Row],[Building]],Production[Building],0))
*IslandModel[[#This Row],[Quantity]]
*IF(OR(IslandModel[[#This Row],[Input 9]]="Land tile",IslandModel[[#This Row],[Input 9]]="Water tile",IslandModel[[#This Row],[Input 9]]="Mountain tile"),1,INDEX(Production[Consumption multiplier],MATCH(IslandModel[[#This Row],[Building]],Production[Building],0))),"")</f>
        <v/>
      </c>
      <c r="CE121" s="41">
        <f>IF(OR(IslandModel[[#This Row],[Assume All Inputs Are Available?]]="Yes",IslandModel[[#This Row],[Input 9 Assume Available]]="Yes"),IslandModel[[#This Row],[Input 9 Needed]],
SUM(SUMIFS(IslandModel[Resource 1 Qty],IslandModel[Resource 1],IslandModel[[#This Row],[Input 9]],IslandModel[ROW ID],"&lt;"&amp;ROW()),
SUMIFS(IslandModel[Resource 2 Qty],IslandModel[Resource 2],IslandModel[[#This Row],[Input 9]],IslandModel[ROW ID],"&lt;"&amp;ROW()),
SUMIFS(IslandModel[Resource 3 Qty],IslandModel[Resource 3],IslandModel[[#This Row],[Input 9]],IslandModel[ROW ID],"&lt;"&amp;ROW()),
SUMIFS(IslandModel[Resource 4 Qty],IslandModel[Resource 4],IslandModel[[#This Row],[Input 9]],IslandModel[ROW ID],"&lt;"&amp;ROW()),
SUMIFS(IslandModel[Resource 5 Qty],IslandModel[Resource 5],IslandModel[[#This Row],[Input 9]],IslandModel[ROW ID],"&lt;"&amp;ROW()),
SUMIFS(IslandModel[Resource 6 Qty],IslandModel[Resource 6],IslandModel[[#This Row],[Input 9]],IslandModel[ROW ID],"&lt;"&amp;ROW()),
SUMIFS(IslandModel[Resource 7 Qty],IslandModel[Resource 7],IslandModel[[#This Row],[Input 9]],IslandModel[ROW ID],"&lt;"&amp;ROW()),
SUMIFS(IslandModel[Resource 8 Qty],IslandModel[Resource 8],IslandModel[[#This Row],[Input 9]],IslandModel[ROW ID],"&lt;"&amp;ROW()),
SUMIFS(IslandModel[Resource 9 Qty],IslandModel[Resource 9],IslandModel[[#This Row],[Input 9]],IslandModel[ROW ID],"&lt;"&amp;ROW()),
SUMIFS(IslandModel[Resource 10 Qty],IslandModel[Resource 10],IslandModel[[#This Row],[Input 9]],IslandModel[ROW ID],"&lt;"&amp;ROW()),
SUMIFS(IslandModel[Resource 11 Qty],IslandModel[Resource 11],IslandModel[[#This Row],[Input 9]],IslandModel[ROW ID],"&lt;"&amp;ROW())
))</f>
        <v>0</v>
      </c>
      <c r="CF121" s="80">
        <f>IF(OR(IslandModel[[#This Row],[Assume All Inputs Are Available?]]="Yes",IslandModel[[#This Row],[Input 9 Assume Available]]="Yes"),0,IFERROR(MIN(IslandModel[[#This Row],[Input Consumption Multiplier]]*IslandModel[[#This Row],[Input 9 Needed]],IslandModel[[#This Row],[Input 9 Available]],IslandModel[[#This Row],[Input 9 Needed]]),0))</f>
        <v>0</v>
      </c>
      <c r="CG121" s="35" t="str">
        <f>IFERROR(INDEX(Production[Input 10],MATCH(IslandModel[[#This Row],[Building]],Production[Building],0)),"")</f>
        <v/>
      </c>
      <c r="CH121" s="78"/>
      <c r="CI121" s="41" t="str">
        <f>IFERROR(
INDEX(Production[Input 10 Quantity],MATCH(IslandModel[[#This Row],[Building]],Production[Building],0))
*IslandModel[[#This Row],[Quantity]]
*IF(OR(IslandModel[[#This Row],[Input 10]]="Land tile",IslandModel[[#This Row],[Input 10]]="Water tile",IslandModel[[#This Row],[Input 10]]="Mountain tile"),1,INDEX(Production[Consumption multiplier],MATCH(IslandModel[[#This Row],[Building]],Production[Building],0))),"")</f>
        <v/>
      </c>
      <c r="CJ121" s="41">
        <f>IF(OR(IslandModel[[#This Row],[Assume All Inputs Are Available?]]="Yes",IslandModel[[#This Row],[Input 10 Assume Available]]="Yes"),IslandModel[[#This Row],[Input 10 Needed]],
SUM(SUMIFS(IslandModel[Resource 1 Qty],IslandModel[Resource 1],IslandModel[[#This Row],[Input 10]],IslandModel[ROW ID],"&lt;"&amp;ROW()),
SUMIFS(IslandModel[Resource 2 Qty],IslandModel[Resource 2],IslandModel[[#This Row],[Input 10]],IslandModel[ROW ID],"&lt;"&amp;ROW()),
SUMIFS(IslandModel[Resource 3 Qty],IslandModel[Resource 3],IslandModel[[#This Row],[Input 10]],IslandModel[ROW ID],"&lt;"&amp;ROW()),
SUMIFS(IslandModel[Resource 4 Qty],IslandModel[Resource 4],IslandModel[[#This Row],[Input 10]],IslandModel[ROW ID],"&lt;"&amp;ROW()),
SUMIFS(IslandModel[Resource 5 Qty],IslandModel[Resource 5],IslandModel[[#This Row],[Input 10]],IslandModel[ROW ID],"&lt;"&amp;ROW()),
SUMIFS(IslandModel[Resource 6 Qty],IslandModel[Resource 6],IslandModel[[#This Row],[Input 10]],IslandModel[ROW ID],"&lt;"&amp;ROW()),
SUMIFS(IslandModel[Resource 7 Qty],IslandModel[Resource 7],IslandModel[[#This Row],[Input 10]],IslandModel[ROW ID],"&lt;"&amp;ROW()),
SUMIFS(IslandModel[Resource 8 Qty],IslandModel[Resource 8],IslandModel[[#This Row],[Input 10]],IslandModel[ROW ID],"&lt;"&amp;ROW()),
SUMIFS(IslandModel[Resource 9 Qty],IslandModel[Resource 9],IslandModel[[#This Row],[Input 10]],IslandModel[ROW ID],"&lt;"&amp;ROW()),
SUMIFS(IslandModel[Resource 10 Qty],IslandModel[Resource 10],IslandModel[[#This Row],[Input 10]],IslandModel[ROW ID],"&lt;"&amp;ROW()),
SUMIFS(IslandModel[Resource 11 Qty],IslandModel[Resource 11],IslandModel[[#This Row],[Input 10]],IslandModel[ROW ID],"&lt;"&amp;ROW())
))</f>
        <v>0</v>
      </c>
      <c r="CK121" s="80">
        <f>IF(OR(IslandModel[[#This Row],[Assume All Inputs Are Available?]]="Yes",IslandModel[[#This Row],[Input 10 Assume Available]]="Yes"),0,IFERROR(MIN(IslandModel[[#This Row],[Input Consumption Multiplier]]*IslandModel[[#This Row],[Input 10 Needed]],IslandModel[[#This Row],[Input 10 Available]],IslandModel[[#This Row],[Input 10 Needed]]),0))</f>
        <v>0</v>
      </c>
      <c r="CL121" s="100">
        <f>MIN(IslandModel[[#This Row],[% to scale production by]],
IFERROR(IslandModel[[#This Row],[Input 1 Available]]/IslandModel[[#This Row],[Input 1 Needed]],1),
IFERROR(IslandModel[[#This Row],[Input 2 Available]]/IslandModel[[#This Row],[Input 2 Needed]],1),
IFERROR(IslandModel[[#This Row],[Input 3 Available]]/IslandModel[[#This Row],[Input 3 Needed]],1),
IFERROR(IslandModel[[#This Row],[Input 4 Available]]/IslandModel[[#This Row],[Input 4 Needed]],1),
IFERROR(IslandModel[[#This Row],[Input 5 Available]]/IslandModel[[#This Row],[Input 5 Needed]],1),
IFERROR(IslandModel[[#This Row],[Input 6 Available]]/IslandModel[[#This Row],[Input 6 Needed]],1),
IFERROR(IslandModel[[#This Row],[Input 7 Available]]/IslandModel[[#This Row],[Input 7 Needed]],1),
IFERROR(IslandModel[[#This Row],[Input 8 Available]]/IslandModel[[#This Row],[Input 8 Needed]],1),
IFERROR(IslandModel[[#This Row],[Input 9 Available]]/IslandModel[[#This Row],[Input 9 Needed]],1),
IFERROR(IslandModel[[#This Row],[Input 10 Available]]/IslandModel[[#This Row],[Input 10 Needed]],1))</f>
        <v>1</v>
      </c>
      <c r="CM121" s="82" t="str">
        <f>IslandModel[[#This Row],[Resource Produced]]</f>
        <v/>
      </c>
      <c r="CN121" s="42">
        <f>IslandModel[[#This Row],[Amount produced/h]]</f>
        <v>0</v>
      </c>
      <c r="CO121" s="42" t="str">
        <f>IslandModel[[#This Row],[Input 1]]</f>
        <v/>
      </c>
      <c r="CP121" s="42">
        <f>-IslandModel[[#This Row],[Input 1 Consumed]]</f>
        <v>0</v>
      </c>
      <c r="CQ121" s="42" t="str">
        <f>IslandModel[[#This Row],[Input 2]]</f>
        <v/>
      </c>
      <c r="CR121" s="42">
        <f>-IslandModel[[#This Row],[Input 2 Consumed]]</f>
        <v>0</v>
      </c>
      <c r="CS121" s="42" t="str">
        <f>IslandModel[[#This Row],[Input 3]]</f>
        <v/>
      </c>
      <c r="CT121" s="42">
        <f>-IslandModel[[#This Row],[Input 3 Consumed]]</f>
        <v>0</v>
      </c>
      <c r="CU121" s="42" t="str">
        <f>IslandModel[[#This Row],[Input 4]]</f>
        <v/>
      </c>
      <c r="CV121" s="42">
        <f>-IslandModel[[#This Row],[Input 4 Consumed]]</f>
        <v>0</v>
      </c>
      <c r="CW121" s="42" t="str">
        <f>IslandModel[[#This Row],[Input 5]]</f>
        <v/>
      </c>
      <c r="CX121" s="42">
        <f>-IslandModel[[#This Row],[Input 5 Consumed]]</f>
        <v>0</v>
      </c>
      <c r="CY121" s="42" t="str">
        <f>IslandModel[[#This Row],[Input 6]]</f>
        <v/>
      </c>
      <c r="CZ121" s="42">
        <f>-IslandModel[[#This Row],[Input 6 Consumed]]</f>
        <v>0</v>
      </c>
      <c r="DA121" s="42" t="str">
        <f>IslandModel[[#This Row],[Input 7]]</f>
        <v/>
      </c>
      <c r="DB121" s="42">
        <f>-IslandModel[[#This Row],[Input 7 Consumed]]</f>
        <v>0</v>
      </c>
      <c r="DC121" s="42" t="str">
        <f>IslandModel[[#This Row],[Input 8]]</f>
        <v/>
      </c>
      <c r="DD121" s="42">
        <f>-IslandModel[[#This Row],[Input 8 Consumed]]</f>
        <v>0</v>
      </c>
      <c r="DE121" s="42" t="str">
        <f>IslandModel[[#This Row],[Input 9]]</f>
        <v/>
      </c>
      <c r="DF121" s="42">
        <f>-IslandModel[[#This Row],[Input 9 Consumed]]</f>
        <v>0</v>
      </c>
      <c r="DG121" s="42" t="str">
        <f>IslandModel[[#This Row],[Input 10]]</f>
        <v/>
      </c>
      <c r="DH121" s="42">
        <f>-IslandModel[[#This Row],[Input 10 Consumed]]</f>
        <v>0</v>
      </c>
    </row>
  </sheetData>
  <phoneticPr fontId="19" type="noConversion"/>
  <conditionalFormatting sqref="J21:J70">
    <cfRule type="dataBar" priority="13">
      <dataBar>
        <cfvo type="num" val="0"/>
        <cfvo type="num" val="1"/>
        <color rgb="FF63C384"/>
      </dataBar>
      <extLst>
        <ext xmlns:x14="http://schemas.microsoft.com/office/spreadsheetml/2009/9/main" uri="{B025F937-C7B1-47D3-B67F-A62EFF666E3E}">
          <x14:id>{CFF49441-7070-40B8-9617-F0C3E16E5177}</x14:id>
        </ext>
      </extLst>
    </cfRule>
  </conditionalFormatting>
  <conditionalFormatting sqref="D10:D16">
    <cfRule type="dataBar" priority="11">
      <dataBar>
        <cfvo type="num" val="0"/>
        <cfvo type="num" val="1"/>
        <color rgb="FF63C384"/>
      </dataBar>
      <extLst>
        <ext xmlns:x14="http://schemas.microsoft.com/office/spreadsheetml/2009/9/main" uri="{B025F937-C7B1-47D3-B67F-A62EFF666E3E}">
          <x14:id>{51FBD10E-C23A-463C-82C0-877F7A2BC066}</x14:id>
        </ext>
      </extLst>
    </cfRule>
  </conditionalFormatting>
  <conditionalFormatting sqref="E11:E16">
    <cfRule type="dataBar" priority="10">
      <dataBar>
        <cfvo type="num" val="0"/>
        <cfvo type="num" val="1"/>
        <color rgb="FF63C384"/>
      </dataBar>
      <extLst>
        <ext xmlns:x14="http://schemas.microsoft.com/office/spreadsheetml/2009/9/main" uri="{B025F937-C7B1-47D3-B67F-A62EFF666E3E}">
          <x14:id>{8AC786EB-1B95-4E48-955F-07B69DCE556F}</x14:id>
        </ext>
      </extLst>
    </cfRule>
  </conditionalFormatting>
  <conditionalFormatting sqref="F11:G16">
    <cfRule type="dataBar" priority="9">
      <dataBar>
        <cfvo type="num" val="0"/>
        <cfvo type="num" val="1"/>
        <color rgb="FF63C384"/>
      </dataBar>
      <extLst>
        <ext xmlns:x14="http://schemas.microsoft.com/office/spreadsheetml/2009/9/main" uri="{B025F937-C7B1-47D3-B67F-A62EFF666E3E}">
          <x14:id>{0FBBAD58-70DE-4710-89EC-74BB1055D837}</x14:id>
        </ext>
      </extLst>
    </cfRule>
  </conditionalFormatting>
  <conditionalFormatting sqref="I21:I70">
    <cfRule type="iconSet" priority="8">
      <iconSet iconSet="3Symbols2">
        <cfvo type="percent" val="0"/>
        <cfvo type="num" val="0" gte="0"/>
        <cfvo type="num" val="0" gte="0"/>
      </iconSet>
    </cfRule>
  </conditionalFormatting>
  <conditionalFormatting sqref="AM21:AM121">
    <cfRule type="notContainsBlanks" dxfId="340" priority="6">
      <formula>LEN(TRIM(AM21))&gt;0</formula>
    </cfRule>
  </conditionalFormatting>
  <conditionalFormatting sqref="V23:W25 V21:V22 V27:W29 V26 V31:W34 V30 V37:W41 V35:V36 V42:V44 V45:W70">
    <cfRule type="dataBar" priority="5">
      <dataBar>
        <cfvo type="num" val="0"/>
        <cfvo type="num" val="1"/>
        <color rgb="FF63C384"/>
      </dataBar>
      <extLst>
        <ext xmlns:x14="http://schemas.microsoft.com/office/spreadsheetml/2009/9/main" uri="{B025F937-C7B1-47D3-B67F-A62EFF666E3E}">
          <x14:id>{36F58154-E8E8-4D22-954F-28DE057EBBD2}</x14:id>
        </ext>
      </extLst>
    </cfRule>
  </conditionalFormatting>
  <conditionalFormatting sqref="CL21:CL121">
    <cfRule type="dataBar" priority="15">
      <dataBar>
        <cfvo type="min"/>
        <cfvo type="max"/>
        <color rgb="FF638EC6"/>
      </dataBar>
      <extLst>
        <ext xmlns:x14="http://schemas.microsoft.com/office/spreadsheetml/2009/9/main" uri="{B025F937-C7B1-47D3-B67F-A62EFF666E3E}">
          <x14:id>{1E0AEFDD-DB89-49C0-8819-82E322AC9193}</x14:id>
        </ext>
      </extLst>
    </cfRule>
  </conditionalFormatting>
  <conditionalFormatting sqref="AI21:AI121">
    <cfRule type="dataBar" priority="3">
      <dataBar>
        <cfvo type="num" val="0"/>
        <cfvo type="num" val="1"/>
        <color rgb="FF63C384"/>
      </dataBar>
      <extLst>
        <ext xmlns:x14="http://schemas.microsoft.com/office/spreadsheetml/2009/9/main" uri="{B025F937-C7B1-47D3-B67F-A62EFF666E3E}">
          <x14:id>{0B74E3AA-D714-4B45-97A1-D4516A739144}</x14:id>
        </ext>
      </extLst>
    </cfRule>
  </conditionalFormatting>
  <conditionalFormatting sqref="AA22:AA70">
    <cfRule type="dataBar" priority="2">
      <dataBar>
        <cfvo type="num" val="0"/>
        <cfvo type="num" val="1"/>
        <color rgb="FF63C384"/>
      </dataBar>
      <extLst>
        <ext xmlns:x14="http://schemas.microsoft.com/office/spreadsheetml/2009/9/main" uri="{B025F937-C7B1-47D3-B67F-A62EFF666E3E}">
          <x14:id>{93917E90-4454-4468-855A-593B738305B1}</x14:id>
        </ext>
      </extLst>
    </cfRule>
  </conditionalFormatting>
  <conditionalFormatting sqref="W42">
    <cfRule type="dataBar" priority="1">
      <dataBar>
        <cfvo type="num" val="0"/>
        <cfvo type="num" val="1"/>
        <color rgb="FF63C384"/>
      </dataBar>
      <extLst>
        <ext xmlns:x14="http://schemas.microsoft.com/office/spreadsheetml/2009/9/main" uri="{B025F937-C7B1-47D3-B67F-A62EFF666E3E}">
          <x14:id>{B06A3DE1-7261-463E-87A4-7AF0E8E211B6}</x14:id>
        </ext>
      </extLst>
    </cfRule>
  </conditionalFormatting>
  <dataValidations count="3">
    <dataValidation type="list" allowBlank="1" showInputMessage="1" showErrorMessage="1" sqref="BD21:BD121 AO21:AO121 AT21:AT121 AY21:AY121 CH21:CH121 BI21:BI121 BN21:BN121 BS21:BS121 BX21:BX121 CC21:CC121 AG21:AG23 AG28:AG114 W21:W70" xr:uid="{2F6CACC5-409F-40B4-A399-D20963AF32E5}">
      <formula1>"Yes,No"</formula1>
    </dataValidation>
    <dataValidation type="list" allowBlank="1" showInputMessage="1" showErrorMessage="1" sqref="O21:O70" xr:uid="{DC7519F2-1CA1-4048-9015-90708B41121B}">
      <formula1>$DJ$21:$DJ$119</formula1>
    </dataValidation>
    <dataValidation type="list" allowBlank="1" showInputMessage="1" sqref="AA21:AA70" xr:uid="{8E1F1AAD-FA23-49E0-98F1-5DB9B05AD219}">
      <formula1>"Yes,No"</formula1>
    </dataValidation>
  </dataValidations>
  <pageMargins left="0.7" right="0.7" top="0.75" bottom="0.75" header="0.3" footer="0.3"/>
  <pageSetup paperSize="9" orientation="portrait" horizontalDpi="4294967293" verticalDpi="0" r:id="rId1"/>
  <tableParts count="5">
    <tablePart r:id="rId2"/>
    <tablePart r:id="rId3"/>
    <tablePart r:id="rId4"/>
    <tablePart r:id="rId5"/>
    <tablePart r:id="rId6"/>
  </tableParts>
  <extLst>
    <ext xmlns:x14="http://schemas.microsoft.com/office/spreadsheetml/2009/9/main" uri="{78C0D931-6437-407d-A8EE-F0AAD7539E65}">
      <x14:conditionalFormattings>
        <x14:conditionalFormatting xmlns:xm="http://schemas.microsoft.com/office/excel/2006/main">
          <x14:cfRule type="dataBar" id="{CFF49441-7070-40B8-9617-F0C3E16E5177}">
            <x14:dataBar minLength="0" maxLength="100" border="1" negativeBarBorderColorSameAsPositive="0">
              <x14:cfvo type="num">
                <xm:f>0</xm:f>
              </x14:cfvo>
              <x14:cfvo type="num">
                <xm:f>1</xm:f>
              </x14:cfvo>
              <x14:borderColor rgb="FF63C384"/>
              <x14:negativeFillColor rgb="FFFF0000"/>
              <x14:negativeBorderColor rgb="FFFF0000"/>
              <x14:axisColor rgb="FF000000"/>
            </x14:dataBar>
          </x14:cfRule>
          <xm:sqref>J21:J70</xm:sqref>
        </x14:conditionalFormatting>
        <x14:conditionalFormatting xmlns:xm="http://schemas.microsoft.com/office/excel/2006/main">
          <x14:cfRule type="dataBar" id="{51FBD10E-C23A-463C-82C0-877F7A2BC066}">
            <x14:dataBar minLength="0" maxLength="100" border="1" negativeBarBorderColorSameAsPositive="0">
              <x14:cfvo type="num">
                <xm:f>0</xm:f>
              </x14:cfvo>
              <x14:cfvo type="num">
                <xm:f>1</xm:f>
              </x14:cfvo>
              <x14:borderColor rgb="FF63C384"/>
              <x14:negativeFillColor rgb="FFFF0000"/>
              <x14:negativeBorderColor rgb="FFFF0000"/>
              <x14:axisColor rgb="FF000000"/>
            </x14:dataBar>
          </x14:cfRule>
          <xm:sqref>D10:D16</xm:sqref>
        </x14:conditionalFormatting>
        <x14:conditionalFormatting xmlns:xm="http://schemas.microsoft.com/office/excel/2006/main">
          <x14:cfRule type="dataBar" id="{8AC786EB-1B95-4E48-955F-07B69DCE556F}">
            <x14:dataBar minLength="0" maxLength="100" border="1" negativeBarBorderColorSameAsPositive="0">
              <x14:cfvo type="num">
                <xm:f>0</xm:f>
              </x14:cfvo>
              <x14:cfvo type="num">
                <xm:f>1</xm:f>
              </x14:cfvo>
              <x14:borderColor rgb="FF63C384"/>
              <x14:negativeFillColor rgb="FFFF0000"/>
              <x14:negativeBorderColor rgb="FFFF0000"/>
              <x14:axisColor rgb="FF000000"/>
            </x14:dataBar>
          </x14:cfRule>
          <xm:sqref>E11:E16</xm:sqref>
        </x14:conditionalFormatting>
        <x14:conditionalFormatting xmlns:xm="http://schemas.microsoft.com/office/excel/2006/main">
          <x14:cfRule type="dataBar" id="{0FBBAD58-70DE-4710-89EC-74BB1055D837}">
            <x14:dataBar minLength="0" maxLength="100" border="1" negativeBarBorderColorSameAsPositive="0">
              <x14:cfvo type="num">
                <xm:f>0</xm:f>
              </x14:cfvo>
              <x14:cfvo type="num">
                <xm:f>1</xm:f>
              </x14:cfvo>
              <x14:borderColor rgb="FF63C384"/>
              <x14:negativeFillColor rgb="FFFF0000"/>
              <x14:negativeBorderColor rgb="FFFF0000"/>
              <x14:axisColor rgb="FF000000"/>
            </x14:dataBar>
          </x14:cfRule>
          <xm:sqref>F11:G16</xm:sqref>
        </x14:conditionalFormatting>
        <x14:conditionalFormatting xmlns:xm="http://schemas.microsoft.com/office/excel/2006/main">
          <x14:cfRule type="dataBar" id="{36F58154-E8E8-4D22-954F-28DE057EBBD2}">
            <x14:dataBar minLength="0" maxLength="100" border="1" negativeBarBorderColorSameAsPositive="0">
              <x14:cfvo type="num">
                <xm:f>0</xm:f>
              </x14:cfvo>
              <x14:cfvo type="num">
                <xm:f>1</xm:f>
              </x14:cfvo>
              <x14:borderColor rgb="FF63C384"/>
              <x14:negativeFillColor rgb="FFFF0000"/>
              <x14:negativeBorderColor rgb="FFFF0000"/>
              <x14:axisColor rgb="FF000000"/>
            </x14:dataBar>
          </x14:cfRule>
          <xm:sqref>V23:W25 V21:V22 V27:W29 V26 V31:W34 V30 V37:W41 V35:V36 V42:V44 V45:W70</xm:sqref>
        </x14:conditionalFormatting>
        <x14:conditionalFormatting xmlns:xm="http://schemas.microsoft.com/office/excel/2006/main">
          <x14:cfRule type="dataBar" id="{1E0AEFDD-DB89-49C0-8819-82E322AC9193}">
            <x14:dataBar minLength="0" maxLength="100" border="1" negativeBarBorderColorSameAsPositive="0">
              <x14:cfvo type="autoMin"/>
              <x14:cfvo type="autoMax"/>
              <x14:borderColor rgb="FF638EC6"/>
              <x14:negativeFillColor rgb="FFFF0000"/>
              <x14:negativeBorderColor rgb="FFFF0000"/>
              <x14:axisColor rgb="FF000000"/>
            </x14:dataBar>
          </x14:cfRule>
          <xm:sqref>CL21:CL121</xm:sqref>
        </x14:conditionalFormatting>
        <x14:conditionalFormatting xmlns:xm="http://schemas.microsoft.com/office/excel/2006/main">
          <x14:cfRule type="dataBar" id="{0B74E3AA-D714-4B45-97A1-D4516A739144}">
            <x14:dataBar minLength="0" maxLength="100" border="1" negativeBarBorderColorSameAsPositive="0">
              <x14:cfvo type="num">
                <xm:f>0</xm:f>
              </x14:cfvo>
              <x14:cfvo type="num">
                <xm:f>1</xm:f>
              </x14:cfvo>
              <x14:borderColor rgb="FF63C384"/>
              <x14:negativeFillColor rgb="FFFF0000"/>
              <x14:negativeBorderColor rgb="FFFF0000"/>
              <x14:axisColor rgb="FF000000"/>
            </x14:dataBar>
          </x14:cfRule>
          <xm:sqref>AI21:AI121</xm:sqref>
        </x14:conditionalFormatting>
        <x14:conditionalFormatting xmlns:xm="http://schemas.microsoft.com/office/excel/2006/main">
          <x14:cfRule type="dataBar" id="{93917E90-4454-4468-855A-593B738305B1}">
            <x14:dataBar minLength="0" maxLength="100" border="1" negativeBarBorderColorSameAsPositive="0">
              <x14:cfvo type="num">
                <xm:f>0</xm:f>
              </x14:cfvo>
              <x14:cfvo type="num">
                <xm:f>1</xm:f>
              </x14:cfvo>
              <x14:borderColor rgb="FF63C384"/>
              <x14:negativeFillColor rgb="FFFF0000"/>
              <x14:negativeBorderColor rgb="FFFF0000"/>
              <x14:axisColor rgb="FF000000"/>
            </x14:dataBar>
          </x14:cfRule>
          <xm:sqref>AA22:AA70</xm:sqref>
        </x14:conditionalFormatting>
        <x14:conditionalFormatting xmlns:xm="http://schemas.microsoft.com/office/excel/2006/main">
          <x14:cfRule type="dataBar" id="{B06A3DE1-7261-463E-87A4-7AF0E8E211B6}">
            <x14:dataBar minLength="0" maxLength="100" border="1" negativeBarBorderColorSameAsPositive="0">
              <x14:cfvo type="num">
                <xm:f>0</xm:f>
              </x14:cfvo>
              <x14:cfvo type="num">
                <xm:f>1</xm:f>
              </x14:cfvo>
              <x14:borderColor rgb="FF63C384"/>
              <x14:negativeFillColor rgb="FFFF0000"/>
              <x14:negativeBorderColor rgb="FFFF0000"/>
              <x14:axisColor rgb="FF000000"/>
            </x14:dataBar>
          </x14:cfRule>
          <xm:sqref>W42</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A9D31E59-2B0E-4218-99B9-A122B951748F}">
          <x14:formula1>
            <xm:f>Production!$AU$11:$AU$16</xm:f>
          </x14:formula1>
          <xm:sqref>D21:D70 C11:C16</xm:sqref>
        </x14:dataValidation>
        <x14:dataValidation type="list" allowBlank="1" showInputMessage="1" showErrorMessage="1" xr:uid="{B07653DD-FB68-45C6-803F-2167143080C7}">
          <x14:formula1>
            <xm:f>Production!$AR$11:$AR$61</xm:f>
          </x14:formula1>
          <xm:sqref>G21:G70</xm:sqref>
        </x14:dataValidation>
        <x14:dataValidation type="list" allowBlank="1" showInputMessage="1" showErrorMessage="1" xr:uid="{9027CF7A-60B6-4622-BA40-9EA84AE071AB}">
          <x14:formula1>
            <xm:f>Production!$AX$10:$AX$34</xm:f>
          </x14:formula1>
          <xm:sqref>E21:E70</xm:sqref>
        </x14:dataValidation>
        <x14:dataValidation type="list" allowBlank="1" showInputMessage="1" showErrorMessage="1" xr:uid="{CF506663-42A2-46FF-B067-73A1A3B0C152}">
          <x14:formula1>
            <xm:f>Production!$B$11:$B$152</xm:f>
          </x14:formula1>
          <xm:sqref>AF21:AF121</xm:sqref>
        </x14:dataValidation>
        <x14:dataValidation type="list" allowBlank="1" showInputMessage="1" showErrorMessage="1" xr:uid="{8126D252-1384-449E-AFBE-90FC643ED5A6}">
          <x14:formula1>
            <xm:f>Ships!$L$11:$L$18</xm:f>
          </x14:formula1>
          <xm:sqref>X15:Z15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A62BC-5C2F-44F5-9D32-1D31DB497A8B}">
  <dimension ref="A1:D17"/>
  <sheetViews>
    <sheetView showGridLines="0" workbookViewId="0"/>
  </sheetViews>
  <sheetFormatPr defaultRowHeight="14.25" x14ac:dyDescent="0.45"/>
  <cols>
    <col min="1" max="1" width="26.6640625" customWidth="1"/>
    <col min="2" max="2" width="12.06640625" bestFit="1" customWidth="1"/>
    <col min="3" max="3" width="12.19921875" bestFit="1" customWidth="1"/>
    <col min="4" max="4" width="34.33203125" bestFit="1" customWidth="1"/>
  </cols>
  <sheetData>
    <row r="1" spans="1:4" ht="23.25" x14ac:dyDescent="0.7">
      <c r="A1" s="1" t="s">
        <v>491</v>
      </c>
    </row>
    <row r="2" spans="1:4" x14ac:dyDescent="0.45">
      <c r="A2" s="13" t="s">
        <v>492</v>
      </c>
    </row>
    <row r="4" spans="1:4" ht="19.899999999999999" thickBot="1" x14ac:dyDescent="0.65">
      <c r="A4" s="6" t="s">
        <v>412</v>
      </c>
    </row>
    <row r="5" spans="1:4" ht="14.65" thickTop="1" x14ac:dyDescent="0.45"/>
    <row r="10" spans="1:4" x14ac:dyDescent="0.45">
      <c r="A10" s="164" t="s">
        <v>490</v>
      </c>
      <c r="B10" s="164" t="s">
        <v>408</v>
      </c>
      <c r="C10" s="164" t="s">
        <v>409</v>
      </c>
    </row>
    <row r="11" spans="1:4" x14ac:dyDescent="0.45">
      <c r="A11" s="133">
        <v>1.3</v>
      </c>
      <c r="B11" s="133">
        <f>ROUNDDOWN(A11-0.1,1)-0.05</f>
        <v>1.1499999999999999</v>
      </c>
      <c r="C11" s="133">
        <f>ROUNDUP(A11+0.1,1)+0.05</f>
        <v>1.45</v>
      </c>
      <c r="D11" s="13" t="s">
        <v>404</v>
      </c>
    </row>
    <row r="12" spans="1:4" x14ac:dyDescent="0.45">
      <c r="A12" s="67">
        <f>A11*60</f>
        <v>78</v>
      </c>
      <c r="B12" s="67">
        <f>B11*60</f>
        <v>69</v>
      </c>
      <c r="C12" s="67">
        <f>C11*60</f>
        <v>87</v>
      </c>
      <c r="D12" s="13" t="s">
        <v>405</v>
      </c>
    </row>
    <row r="13" spans="1:4" x14ac:dyDescent="0.45">
      <c r="A13" s="133">
        <v>10</v>
      </c>
      <c r="B13" s="67">
        <f>A13</f>
        <v>10</v>
      </c>
      <c r="C13" s="67">
        <f>B13</f>
        <v>10</v>
      </c>
      <c r="D13" s="13" t="s">
        <v>406</v>
      </c>
    </row>
    <row r="14" spans="1:4" x14ac:dyDescent="0.45">
      <c r="A14" s="67">
        <f>-A12/A13</f>
        <v>-7.8</v>
      </c>
      <c r="B14" s="67">
        <f>-B12/B13</f>
        <v>-6.9</v>
      </c>
      <c r="C14" s="67">
        <f>-C12/C13</f>
        <v>-8.6999999999999993</v>
      </c>
      <c r="D14" s="13" t="s">
        <v>407</v>
      </c>
    </row>
    <row r="15" spans="1:4" x14ac:dyDescent="0.45">
      <c r="A15" s="133">
        <v>30</v>
      </c>
      <c r="B15" s="67">
        <f>A15</f>
        <v>30</v>
      </c>
      <c r="C15" s="67">
        <f>B15</f>
        <v>30</v>
      </c>
      <c r="D15" s="13" t="s">
        <v>411</v>
      </c>
    </row>
    <row r="16" spans="1:4" x14ac:dyDescent="0.45">
      <c r="A16" s="162">
        <f>(A14/A15)/60/60</f>
        <v>-7.2222222222222219E-5</v>
      </c>
      <c r="B16" s="162">
        <f>(B14/B15)/60/60</f>
        <v>-6.3888888888888895E-5</v>
      </c>
      <c r="C16" s="162">
        <f>(C14/C15)/60/60</f>
        <v>-8.0555555555555542E-5</v>
      </c>
      <c r="D16" s="13" t="s">
        <v>410</v>
      </c>
    </row>
    <row r="17" spans="1:4" x14ac:dyDescent="0.45">
      <c r="A17" s="163">
        <f>A16^-1</f>
        <v>-13846.153846153848</v>
      </c>
      <c r="B17" s="163">
        <f>B16^-1</f>
        <v>-15652.173913043476</v>
      </c>
      <c r="C17" s="163">
        <f>C16^-1</f>
        <v>-12413.793103448277</v>
      </c>
      <c r="D17" s="13" t="s">
        <v>413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A974C-C4C3-4C27-B9B0-D44B7D23480A}">
  <sheetPr>
    <tabColor rgb="FF00B050"/>
  </sheetPr>
  <dimension ref="A1:G511"/>
  <sheetViews>
    <sheetView showGridLines="0" workbookViewId="0"/>
  </sheetViews>
  <sheetFormatPr defaultRowHeight="14.25" x14ac:dyDescent="0.45"/>
  <cols>
    <col min="1" max="1" width="3.33203125" customWidth="1"/>
    <col min="2" max="2" width="5.86328125" customWidth="1"/>
    <col min="3" max="3" width="31.73046875" bestFit="1" customWidth="1"/>
    <col min="4" max="4" width="13.9296875" customWidth="1"/>
    <col min="5" max="5" width="38.73046875" bestFit="1" customWidth="1"/>
    <col min="6" max="6" width="28.73046875" customWidth="1"/>
    <col min="7" max="7" width="13.796875" bestFit="1" customWidth="1"/>
  </cols>
  <sheetData>
    <row r="1" spans="1:7" ht="23.25" x14ac:dyDescent="0.7">
      <c r="A1" s="1" t="s">
        <v>809</v>
      </c>
      <c r="B1" s="1"/>
      <c r="C1" s="1"/>
    </row>
    <row r="3" spans="1:7" x14ac:dyDescent="0.45">
      <c r="A3" s="13" t="s">
        <v>821</v>
      </c>
      <c r="B3" s="13"/>
      <c r="C3" s="13"/>
    </row>
    <row r="4" spans="1:7" x14ac:dyDescent="0.45">
      <c r="A4" s="13" t="s">
        <v>820</v>
      </c>
    </row>
    <row r="5" spans="1:7" x14ac:dyDescent="0.45">
      <c r="A5" s="13" t="s">
        <v>871</v>
      </c>
    </row>
    <row r="6" spans="1:7" x14ac:dyDescent="0.45">
      <c r="A6" s="13" t="s">
        <v>956</v>
      </c>
    </row>
    <row r="7" spans="1:7" x14ac:dyDescent="0.45">
      <c r="A7" s="13"/>
    </row>
    <row r="8" spans="1:7" x14ac:dyDescent="0.45">
      <c r="A8" s="13"/>
    </row>
    <row r="9" spans="1:7" x14ac:dyDescent="0.45">
      <c r="A9" s="13"/>
    </row>
    <row r="10" spans="1:7" ht="19.899999999999999" thickBot="1" x14ac:dyDescent="0.65">
      <c r="B10" s="6" t="s">
        <v>599</v>
      </c>
      <c r="C10" s="6"/>
    </row>
    <row r="11" spans="1:7" ht="14.65" thickTop="1" x14ac:dyDescent="0.45">
      <c r="D11" s="107" t="s">
        <v>812</v>
      </c>
    </row>
    <row r="12" spans="1:7" x14ac:dyDescent="0.45">
      <c r="D12" s="107"/>
    </row>
    <row r="14" spans="1:7" x14ac:dyDescent="0.45">
      <c r="D14" s="161" t="s">
        <v>208</v>
      </c>
      <c r="E14" s="161" t="s">
        <v>37</v>
      </c>
      <c r="F14" s="161" t="s">
        <v>247</v>
      </c>
      <c r="G14" s="161" t="s">
        <v>816</v>
      </c>
    </row>
    <row r="15" spans="1:7" ht="15.75" x14ac:dyDescent="0.45">
      <c r="D15" s="74">
        <v>90</v>
      </c>
      <c r="E15" s="50" t="s">
        <v>55</v>
      </c>
      <c r="F15" s="50" t="s">
        <v>242</v>
      </c>
      <c r="G15" s="74">
        <v>90</v>
      </c>
    </row>
    <row r="16" spans="1:7" ht="15.75" x14ac:dyDescent="0.45">
      <c r="D16" s="74">
        <v>12</v>
      </c>
      <c r="E16" s="50" t="s">
        <v>58</v>
      </c>
      <c r="F16" s="50" t="s">
        <v>242</v>
      </c>
      <c r="G16" s="74">
        <v>12</v>
      </c>
    </row>
    <row r="17" spans="3:7" ht="15.75" x14ac:dyDescent="0.45">
      <c r="D17" s="74"/>
      <c r="E17" s="50"/>
      <c r="F17" s="50"/>
      <c r="G17" s="74"/>
    </row>
    <row r="18" spans="3:7" ht="17.25" thickBot="1" x14ac:dyDescent="0.55000000000000004">
      <c r="C18" s="126" t="s">
        <v>393</v>
      </c>
      <c r="D18" s="74">
        <v>2</v>
      </c>
      <c r="E18" s="50" t="s">
        <v>50</v>
      </c>
      <c r="F18" s="50"/>
      <c r="G18" s="74">
        <v>2</v>
      </c>
    </row>
    <row r="19" spans="3:7" ht="16.149999999999999" thickTop="1" x14ac:dyDescent="0.45">
      <c r="D19" s="74">
        <v>2</v>
      </c>
      <c r="E19" s="50" t="s">
        <v>90</v>
      </c>
      <c r="F19" s="50"/>
      <c r="G19" s="74">
        <v>2</v>
      </c>
    </row>
    <row r="20" spans="3:7" ht="15.75" x14ac:dyDescent="0.45">
      <c r="D20" s="74">
        <v>4</v>
      </c>
      <c r="E20" s="50" t="s">
        <v>92</v>
      </c>
      <c r="F20" s="50"/>
      <c r="G20" s="74">
        <v>4</v>
      </c>
    </row>
    <row r="21" spans="3:7" ht="15.75" x14ac:dyDescent="0.45">
      <c r="D21" s="74">
        <v>4</v>
      </c>
      <c r="E21" s="50" t="s">
        <v>94</v>
      </c>
      <c r="F21" s="50"/>
      <c r="G21" s="74">
        <v>4</v>
      </c>
    </row>
    <row r="22" spans="3:7" ht="15.75" x14ac:dyDescent="0.45">
      <c r="D22" s="74">
        <v>5</v>
      </c>
      <c r="E22" s="50" t="s">
        <v>98</v>
      </c>
      <c r="F22" s="50"/>
      <c r="G22" s="74">
        <v>5</v>
      </c>
    </row>
    <row r="23" spans="3:7" ht="15.75" x14ac:dyDescent="0.45">
      <c r="D23" s="74"/>
      <c r="E23" s="50"/>
      <c r="F23" s="50"/>
      <c r="G23" s="74"/>
    </row>
    <row r="24" spans="3:7" ht="17.25" thickBot="1" x14ac:dyDescent="0.55000000000000004">
      <c r="C24" s="126" t="s">
        <v>10</v>
      </c>
      <c r="D24" s="74">
        <v>1</v>
      </c>
      <c r="E24" s="50" t="s">
        <v>50</v>
      </c>
      <c r="F24" s="50"/>
      <c r="G24" s="74">
        <v>1</v>
      </c>
    </row>
    <row r="25" spans="3:7" ht="16.149999999999999" thickTop="1" x14ac:dyDescent="0.45">
      <c r="D25" s="169">
        <f>D26*8</f>
        <v>16</v>
      </c>
      <c r="E25" s="50" t="s">
        <v>68</v>
      </c>
      <c r="F25" s="50"/>
      <c r="G25" s="169">
        <f>G26*8</f>
        <v>16</v>
      </c>
    </row>
    <row r="26" spans="3:7" ht="15.75" x14ac:dyDescent="0.45">
      <c r="D26" s="74">
        <v>2</v>
      </c>
      <c r="E26" s="50" t="s">
        <v>70</v>
      </c>
      <c r="F26" s="50"/>
      <c r="G26" s="74">
        <v>2</v>
      </c>
    </row>
    <row r="27" spans="3:7" ht="15.75" x14ac:dyDescent="0.45">
      <c r="D27" s="74">
        <v>2</v>
      </c>
      <c r="E27" s="50" t="s">
        <v>73</v>
      </c>
      <c r="F27" s="50"/>
      <c r="G27" s="74">
        <v>2</v>
      </c>
    </row>
    <row r="28" spans="3:7" ht="15.75" x14ac:dyDescent="0.45">
      <c r="D28" s="74">
        <v>10</v>
      </c>
      <c r="E28" s="50" t="s">
        <v>75</v>
      </c>
      <c r="F28" s="50"/>
      <c r="G28" s="74">
        <v>10</v>
      </c>
    </row>
    <row r="29" spans="3:7" ht="15.75" x14ac:dyDescent="0.45">
      <c r="D29" s="74"/>
      <c r="E29" s="50"/>
      <c r="F29" s="50"/>
      <c r="G29" s="74"/>
    </row>
    <row r="30" spans="3:7" ht="17.25" thickBot="1" x14ac:dyDescent="0.55000000000000004">
      <c r="C30" s="126" t="s">
        <v>15</v>
      </c>
      <c r="D30" s="74">
        <v>1</v>
      </c>
      <c r="E30" s="50" t="s">
        <v>50</v>
      </c>
      <c r="F30" s="50"/>
      <c r="G30" s="74">
        <v>1</v>
      </c>
    </row>
    <row r="31" spans="3:7" ht="16.149999999999999" thickTop="1" x14ac:dyDescent="0.45">
      <c r="D31" s="169">
        <f>D32*8</f>
        <v>16</v>
      </c>
      <c r="E31" s="50" t="s">
        <v>68</v>
      </c>
      <c r="F31" s="50"/>
      <c r="G31" s="169">
        <f>G32*8</f>
        <v>16</v>
      </c>
    </row>
    <row r="32" spans="3:7" ht="15.75" x14ac:dyDescent="0.45">
      <c r="D32" s="74">
        <v>2</v>
      </c>
      <c r="E32" s="50" t="s">
        <v>70</v>
      </c>
      <c r="F32" s="50"/>
      <c r="G32" s="74">
        <v>2</v>
      </c>
    </row>
    <row r="33" spans="3:7" ht="15.75" x14ac:dyDescent="0.45">
      <c r="D33" s="74">
        <v>1</v>
      </c>
      <c r="E33" s="50" t="s">
        <v>126</v>
      </c>
      <c r="F33" s="50"/>
      <c r="G33" s="74">
        <v>1</v>
      </c>
    </row>
    <row r="34" spans="3:7" ht="15.75" x14ac:dyDescent="0.45">
      <c r="D34" s="74">
        <v>5</v>
      </c>
      <c r="E34" s="50" t="s">
        <v>130</v>
      </c>
      <c r="F34" s="50"/>
      <c r="G34" s="74">
        <v>5</v>
      </c>
    </row>
    <row r="35" spans="3:7" ht="15.75" x14ac:dyDescent="0.45">
      <c r="D35" s="106"/>
      <c r="E35" s="50"/>
      <c r="F35" s="50"/>
      <c r="G35" s="106"/>
    </row>
    <row r="36" spans="3:7" ht="17.25" thickBot="1" x14ac:dyDescent="0.55000000000000004">
      <c r="C36" s="126" t="s">
        <v>13</v>
      </c>
      <c r="D36" s="169">
        <f>D37*20</f>
        <v>60</v>
      </c>
      <c r="E36" s="50" t="s">
        <v>511</v>
      </c>
      <c r="F36" s="50"/>
      <c r="G36" s="169">
        <f>G37*20</f>
        <v>60</v>
      </c>
    </row>
    <row r="37" spans="3:7" ht="16.149999999999999" thickTop="1" x14ac:dyDescent="0.45">
      <c r="D37" s="106">
        <v>3</v>
      </c>
      <c r="E37" s="50" t="s">
        <v>876</v>
      </c>
      <c r="F37" s="50"/>
      <c r="G37" s="106">
        <v>3</v>
      </c>
    </row>
    <row r="38" spans="3:7" ht="15.75" x14ac:dyDescent="0.45">
      <c r="D38" s="106">
        <v>5</v>
      </c>
      <c r="E38" s="50" t="s">
        <v>111</v>
      </c>
      <c r="F38" s="50"/>
      <c r="G38" s="106">
        <v>5</v>
      </c>
    </row>
    <row r="39" spans="3:7" ht="15.75" x14ac:dyDescent="0.45">
      <c r="D39" s="106"/>
      <c r="E39" s="50"/>
      <c r="F39" s="50"/>
      <c r="G39" s="106"/>
    </row>
    <row r="40" spans="3:7" ht="17.25" thickBot="1" x14ac:dyDescent="0.55000000000000004">
      <c r="C40" s="126" t="s">
        <v>16</v>
      </c>
      <c r="D40" s="106">
        <v>1</v>
      </c>
      <c r="E40" s="50" t="s">
        <v>138</v>
      </c>
      <c r="F40" s="50"/>
      <c r="G40" s="106">
        <v>1</v>
      </c>
    </row>
    <row r="41" spans="3:7" ht="16.149999999999999" thickTop="1" x14ac:dyDescent="0.45">
      <c r="D41" s="106"/>
      <c r="E41" s="50" t="s">
        <v>50</v>
      </c>
      <c r="F41" s="50"/>
      <c r="G41" s="106"/>
    </row>
    <row r="42" spans="3:7" ht="15.75" x14ac:dyDescent="0.45">
      <c r="D42" s="106"/>
      <c r="E42" s="167" t="s">
        <v>858</v>
      </c>
      <c r="F42" s="50"/>
      <c r="G42" s="106"/>
    </row>
    <row r="43" spans="3:7" ht="15.75" x14ac:dyDescent="0.45">
      <c r="D43" s="106">
        <v>2</v>
      </c>
      <c r="E43" s="50" t="s">
        <v>153</v>
      </c>
      <c r="F43" s="50"/>
      <c r="G43" s="106">
        <v>2</v>
      </c>
    </row>
    <row r="44" spans="3:7" ht="15.75" x14ac:dyDescent="0.45">
      <c r="D44" s="106">
        <v>4</v>
      </c>
      <c r="E44" s="50" t="s">
        <v>155</v>
      </c>
      <c r="F44" s="50"/>
      <c r="G44" s="106">
        <v>4</v>
      </c>
    </row>
    <row r="45" spans="3:7" ht="15.75" x14ac:dyDescent="0.45">
      <c r="D45" s="106">
        <v>4</v>
      </c>
      <c r="E45" s="50" t="s">
        <v>158</v>
      </c>
      <c r="F45" s="50"/>
      <c r="G45" s="106">
        <v>4</v>
      </c>
    </row>
    <row r="46" spans="3:7" ht="15.75" x14ac:dyDescent="0.45">
      <c r="D46" s="106">
        <v>5</v>
      </c>
      <c r="E46" s="50" t="s">
        <v>160</v>
      </c>
      <c r="F46" s="50"/>
      <c r="G46" s="106">
        <v>5</v>
      </c>
    </row>
    <row r="47" spans="3:7" ht="15.75" x14ac:dyDescent="0.45">
      <c r="D47" s="106"/>
      <c r="E47" s="50"/>
      <c r="F47" s="50"/>
      <c r="G47" s="106"/>
    </row>
    <row r="48" spans="3:7" ht="17.25" thickBot="1" x14ac:dyDescent="0.55000000000000004">
      <c r="C48" s="126" t="s">
        <v>18</v>
      </c>
      <c r="D48" s="106">
        <v>1</v>
      </c>
      <c r="E48" s="50" t="s">
        <v>138</v>
      </c>
      <c r="F48" s="50"/>
      <c r="G48" s="106">
        <v>1</v>
      </c>
    </row>
    <row r="49" spans="2:7" ht="16.149999999999999" thickTop="1" x14ac:dyDescent="0.45">
      <c r="D49" s="106"/>
      <c r="E49" s="50" t="s">
        <v>50</v>
      </c>
      <c r="F49" s="50"/>
      <c r="G49" s="106"/>
    </row>
    <row r="50" spans="2:7" ht="15.75" x14ac:dyDescent="0.45">
      <c r="D50" s="106"/>
      <c r="E50" s="167" t="s">
        <v>858</v>
      </c>
      <c r="F50" s="50"/>
      <c r="G50" s="106"/>
    </row>
    <row r="51" spans="2:7" ht="15.75" x14ac:dyDescent="0.45">
      <c r="D51" s="106">
        <v>4</v>
      </c>
      <c r="E51" s="50" t="s">
        <v>153</v>
      </c>
      <c r="F51" s="50"/>
      <c r="G51" s="106">
        <v>4</v>
      </c>
    </row>
    <row r="52" spans="2:7" ht="15.75" x14ac:dyDescent="0.45">
      <c r="D52" s="106">
        <v>8</v>
      </c>
      <c r="E52" s="50" t="s">
        <v>155</v>
      </c>
      <c r="F52" s="50"/>
      <c r="G52" s="106">
        <v>8</v>
      </c>
    </row>
    <row r="53" spans="2:7" ht="15.75" x14ac:dyDescent="0.45">
      <c r="D53" s="169">
        <f>D54*8</f>
        <v>32</v>
      </c>
      <c r="E53" s="50" t="s">
        <v>68</v>
      </c>
      <c r="F53" s="50"/>
      <c r="G53" s="169">
        <f>G54*8</f>
        <v>32</v>
      </c>
    </row>
    <row r="54" spans="2:7" ht="15.75" x14ac:dyDescent="0.45">
      <c r="D54" s="106">
        <v>4</v>
      </c>
      <c r="E54" s="50" t="s">
        <v>70</v>
      </c>
      <c r="F54" s="50"/>
      <c r="G54" s="106">
        <v>4</v>
      </c>
    </row>
    <row r="55" spans="2:7" ht="15.75" x14ac:dyDescent="0.45">
      <c r="D55" s="106">
        <v>4</v>
      </c>
      <c r="E55" s="50" t="s">
        <v>174</v>
      </c>
      <c r="F55" s="50"/>
      <c r="G55" s="106">
        <v>4</v>
      </c>
    </row>
    <row r="56" spans="2:7" ht="15.75" x14ac:dyDescent="0.45">
      <c r="D56" s="106">
        <v>10</v>
      </c>
      <c r="E56" s="50" t="s">
        <v>177</v>
      </c>
      <c r="F56" s="50"/>
      <c r="G56" s="106">
        <v>10</v>
      </c>
    </row>
    <row r="60" spans="2:7" ht="19.899999999999999" thickBot="1" x14ac:dyDescent="0.65">
      <c r="B60" s="6" t="s">
        <v>569</v>
      </c>
      <c r="C60" s="6"/>
    </row>
    <row r="61" spans="2:7" ht="14.65" thickTop="1" x14ac:dyDescent="0.45">
      <c r="D61" s="107" t="s">
        <v>810</v>
      </c>
    </row>
    <row r="62" spans="2:7" x14ac:dyDescent="0.45">
      <c r="D62" s="107" t="s">
        <v>811</v>
      </c>
    </row>
    <row r="64" spans="2:7" x14ac:dyDescent="0.45">
      <c r="D64" s="161" t="s">
        <v>208</v>
      </c>
      <c r="E64" s="161" t="s">
        <v>37</v>
      </c>
      <c r="F64" s="161" t="s">
        <v>247</v>
      </c>
      <c r="G64" s="161" t="s">
        <v>816</v>
      </c>
    </row>
    <row r="65" spans="3:7" ht="15.75" x14ac:dyDescent="0.45">
      <c r="D65" s="74">
        <v>12</v>
      </c>
      <c r="E65" s="50" t="s">
        <v>58</v>
      </c>
      <c r="F65" s="18" t="s">
        <v>242</v>
      </c>
      <c r="G65" s="74">
        <v>12</v>
      </c>
    </row>
    <row r="66" spans="3:7" ht="15.75" x14ac:dyDescent="0.45">
      <c r="D66" s="74"/>
      <c r="E66" s="50"/>
      <c r="F66" s="18"/>
      <c r="G66" s="74"/>
    </row>
    <row r="67" spans="3:7" ht="17.25" thickBot="1" x14ac:dyDescent="0.55000000000000004">
      <c r="C67" s="126" t="s">
        <v>814</v>
      </c>
      <c r="D67" s="74">
        <v>1</v>
      </c>
      <c r="E67" s="50" t="s">
        <v>50</v>
      </c>
      <c r="F67" s="18"/>
      <c r="G67" s="74">
        <v>1</v>
      </c>
    </row>
    <row r="68" spans="3:7" ht="17.649999999999999" thickTop="1" thickBot="1" x14ac:dyDescent="0.55000000000000004">
      <c r="C68" s="126" t="s">
        <v>815</v>
      </c>
      <c r="D68" s="74">
        <v>1</v>
      </c>
      <c r="E68" s="50" t="s">
        <v>64</v>
      </c>
      <c r="F68" s="18"/>
      <c r="G68" s="74">
        <v>1</v>
      </c>
    </row>
    <row r="69" spans="3:7" ht="16.149999999999999" thickTop="1" x14ac:dyDescent="0.45">
      <c r="D69" s="169">
        <f>D70*8</f>
        <v>40</v>
      </c>
      <c r="E69" s="50" t="s">
        <v>889</v>
      </c>
      <c r="F69" s="18"/>
      <c r="G69" s="169">
        <f>G70*8</f>
        <v>40</v>
      </c>
    </row>
    <row r="70" spans="3:7" ht="15.75" x14ac:dyDescent="0.45">
      <c r="D70" s="74">
        <v>5</v>
      </c>
      <c r="E70" s="50" t="s">
        <v>99</v>
      </c>
      <c r="F70" s="18"/>
      <c r="G70" s="74">
        <v>5</v>
      </c>
    </row>
    <row r="71" spans="3:7" ht="15.75" x14ac:dyDescent="0.45">
      <c r="D71" s="74"/>
      <c r="E71" s="50"/>
      <c r="F71" s="18"/>
      <c r="G71" s="74"/>
    </row>
    <row r="72" spans="3:7" ht="15.75" x14ac:dyDescent="0.45">
      <c r="D72" s="169">
        <f>D73*8</f>
        <v>24</v>
      </c>
      <c r="E72" s="50" t="s">
        <v>68</v>
      </c>
      <c r="F72" s="18"/>
      <c r="G72" s="169">
        <f>G73*8</f>
        <v>24</v>
      </c>
    </row>
    <row r="73" spans="3:7" ht="15.75" x14ac:dyDescent="0.45">
      <c r="D73" s="74">
        <v>3</v>
      </c>
      <c r="E73" s="50" t="s">
        <v>70</v>
      </c>
      <c r="F73" s="18"/>
      <c r="G73" s="74">
        <v>3</v>
      </c>
    </row>
    <row r="74" spans="3:7" ht="15.75" x14ac:dyDescent="0.45">
      <c r="D74" s="74">
        <v>3</v>
      </c>
      <c r="E74" s="50" t="s">
        <v>76</v>
      </c>
      <c r="F74" s="18"/>
      <c r="G74" s="74">
        <v>3</v>
      </c>
    </row>
    <row r="75" spans="3:7" ht="15.75" x14ac:dyDescent="0.45">
      <c r="D75" s="74">
        <v>5</v>
      </c>
      <c r="E75" s="50" t="s">
        <v>118</v>
      </c>
      <c r="F75" s="18"/>
      <c r="G75" s="74">
        <v>5</v>
      </c>
    </row>
    <row r="76" spans="3:7" ht="15.75" x14ac:dyDescent="0.45">
      <c r="D76" s="74">
        <v>3</v>
      </c>
      <c r="E76" s="50" t="s">
        <v>138</v>
      </c>
      <c r="F76" s="18"/>
      <c r="G76" s="74">
        <v>3</v>
      </c>
    </row>
    <row r="77" spans="3:7" ht="15.75" x14ac:dyDescent="0.45">
      <c r="D77" s="74"/>
      <c r="E77" s="50" t="s">
        <v>50</v>
      </c>
      <c r="F77" s="18"/>
      <c r="G77" s="74"/>
    </row>
    <row r="78" spans="3:7" ht="15.75" x14ac:dyDescent="0.45">
      <c r="D78" s="74"/>
      <c r="E78" s="50" t="s">
        <v>858</v>
      </c>
      <c r="F78" s="18"/>
      <c r="G78" s="74"/>
    </row>
    <row r="79" spans="3:7" ht="15.75" x14ac:dyDescent="0.45">
      <c r="D79" s="74">
        <v>3</v>
      </c>
      <c r="E79" s="50" t="s">
        <v>153</v>
      </c>
      <c r="F79" s="18"/>
      <c r="G79" s="74">
        <v>3</v>
      </c>
    </row>
    <row r="80" spans="3:7" ht="15.75" x14ac:dyDescent="0.45">
      <c r="D80" s="74">
        <v>5</v>
      </c>
      <c r="E80" s="50" t="s">
        <v>155</v>
      </c>
      <c r="F80" s="18"/>
      <c r="G80" s="74">
        <v>5</v>
      </c>
    </row>
    <row r="81" spans="3:7" ht="15.75" x14ac:dyDescent="0.45">
      <c r="D81" s="74">
        <v>2</v>
      </c>
      <c r="E81" s="50" t="s">
        <v>157</v>
      </c>
      <c r="F81" s="18"/>
      <c r="G81" s="74">
        <v>2</v>
      </c>
    </row>
    <row r="82" spans="3:7" ht="15.75" x14ac:dyDescent="0.45">
      <c r="D82" s="74">
        <v>3</v>
      </c>
      <c r="E82" s="50" t="s">
        <v>428</v>
      </c>
      <c r="F82" s="18"/>
      <c r="G82" s="74">
        <v>3</v>
      </c>
    </row>
    <row r="83" spans="3:7" ht="15.75" x14ac:dyDescent="0.45">
      <c r="D83" s="74">
        <v>3</v>
      </c>
      <c r="E83" s="50" t="s">
        <v>429</v>
      </c>
      <c r="F83" s="18"/>
      <c r="G83" s="74">
        <v>3</v>
      </c>
    </row>
    <row r="84" spans="3:7" ht="15.75" x14ac:dyDescent="0.45">
      <c r="D84" s="74"/>
      <c r="E84" s="50" t="s">
        <v>896</v>
      </c>
      <c r="F84" s="18"/>
      <c r="G84" s="74"/>
    </row>
    <row r="85" spans="3:7" ht="15.75" x14ac:dyDescent="0.45">
      <c r="D85" s="74"/>
      <c r="E85" s="50" t="s">
        <v>397</v>
      </c>
      <c r="F85" s="18"/>
      <c r="G85" s="74"/>
    </row>
    <row r="86" spans="3:7" ht="15.75" x14ac:dyDescent="0.45">
      <c r="D86" s="74"/>
      <c r="E86" s="50" t="s">
        <v>398</v>
      </c>
      <c r="F86" s="18"/>
      <c r="G86" s="74"/>
    </row>
    <row r="87" spans="3:7" ht="15.75" x14ac:dyDescent="0.45">
      <c r="D87" s="74">
        <v>1</v>
      </c>
      <c r="E87" s="50" t="s">
        <v>399</v>
      </c>
      <c r="F87" s="18"/>
      <c r="G87" s="74">
        <v>1</v>
      </c>
    </row>
    <row r="88" spans="3:7" ht="15.75" x14ac:dyDescent="0.45">
      <c r="D88" s="74"/>
      <c r="E88" s="50" t="s">
        <v>400</v>
      </c>
      <c r="F88" s="18"/>
      <c r="G88" s="74"/>
    </row>
    <row r="89" spans="3:7" ht="15.75" x14ac:dyDescent="0.45">
      <c r="D89" s="74">
        <v>1</v>
      </c>
      <c r="E89" s="50" t="s">
        <v>401</v>
      </c>
      <c r="F89" s="18"/>
      <c r="G89" s="74">
        <v>1</v>
      </c>
    </row>
    <row r="91" spans="3:7" x14ac:dyDescent="0.45">
      <c r="D91" s="161" t="s">
        <v>208</v>
      </c>
      <c r="E91" s="161" t="s">
        <v>37</v>
      </c>
      <c r="F91" s="161" t="s">
        <v>247</v>
      </c>
    </row>
    <row r="92" spans="3:7" ht="17.25" thickBot="1" x14ac:dyDescent="0.55000000000000004">
      <c r="C92" s="126" t="s">
        <v>813</v>
      </c>
      <c r="D92" s="74">
        <v>12</v>
      </c>
      <c r="E92" s="50" t="s">
        <v>58</v>
      </c>
      <c r="F92" s="18" t="s">
        <v>242</v>
      </c>
      <c r="G92" s="74">
        <v>12</v>
      </c>
    </row>
    <row r="93" spans="3:7" ht="16.149999999999999" thickTop="1" x14ac:dyDescent="0.45">
      <c r="D93" s="74"/>
      <c r="E93" s="50"/>
      <c r="F93" s="18"/>
      <c r="G93" s="74"/>
    </row>
    <row r="94" spans="3:7" ht="15.75" x14ac:dyDescent="0.45">
      <c r="D94" s="74">
        <v>1</v>
      </c>
      <c r="E94" s="50" t="s">
        <v>50</v>
      </c>
      <c r="F94" s="50"/>
      <c r="G94" s="74">
        <v>1</v>
      </c>
    </row>
    <row r="95" spans="3:7" ht="15.75" x14ac:dyDescent="0.45">
      <c r="D95" s="74">
        <v>1</v>
      </c>
      <c r="E95" s="50" t="s">
        <v>64</v>
      </c>
      <c r="F95" s="50"/>
      <c r="G95" s="74">
        <v>1</v>
      </c>
    </row>
    <row r="96" spans="3:7" ht="15.75" x14ac:dyDescent="0.45">
      <c r="D96" s="169">
        <f>D97*8</f>
        <v>24</v>
      </c>
      <c r="E96" s="50" t="s">
        <v>68</v>
      </c>
      <c r="F96" s="50"/>
      <c r="G96" s="169">
        <f>G97*8</f>
        <v>24</v>
      </c>
    </row>
    <row r="97" spans="3:7" ht="15.75" x14ac:dyDescent="0.45">
      <c r="D97" s="74">
        <v>3</v>
      </c>
      <c r="E97" s="50" t="s">
        <v>70</v>
      </c>
      <c r="F97" s="50"/>
      <c r="G97" s="74">
        <v>3</v>
      </c>
    </row>
    <row r="98" spans="3:7" ht="15.75" x14ac:dyDescent="0.45">
      <c r="D98" s="74">
        <v>3</v>
      </c>
      <c r="E98" s="50" t="s">
        <v>76</v>
      </c>
      <c r="F98" s="50"/>
      <c r="G98" s="74">
        <v>3</v>
      </c>
    </row>
    <row r="99" spans="3:7" ht="15.75" x14ac:dyDescent="0.45">
      <c r="D99" s="74"/>
      <c r="E99" s="50" t="s">
        <v>897</v>
      </c>
      <c r="F99" s="50"/>
      <c r="G99" s="74"/>
    </row>
    <row r="100" spans="3:7" ht="15.75" x14ac:dyDescent="0.45">
      <c r="D100" s="74">
        <v>1</v>
      </c>
      <c r="E100" s="50" t="s">
        <v>896</v>
      </c>
      <c r="F100" s="50"/>
      <c r="G100" s="74">
        <v>1</v>
      </c>
    </row>
    <row r="102" spans="3:7" x14ac:dyDescent="0.45">
      <c r="D102" s="161" t="s">
        <v>208</v>
      </c>
      <c r="E102" s="161" t="s">
        <v>37</v>
      </c>
      <c r="F102" s="161" t="s">
        <v>247</v>
      </c>
    </row>
    <row r="103" spans="3:7" ht="17.25" thickBot="1" x14ac:dyDescent="0.55000000000000004">
      <c r="C103" s="126" t="s">
        <v>819</v>
      </c>
      <c r="D103" s="74">
        <v>12</v>
      </c>
      <c r="E103" s="50" t="s">
        <v>58</v>
      </c>
      <c r="F103" s="18" t="s">
        <v>242</v>
      </c>
      <c r="G103" s="74">
        <v>12</v>
      </c>
    </row>
    <row r="104" spans="3:7" ht="16.149999999999999" thickTop="1" x14ac:dyDescent="0.45">
      <c r="D104" s="74"/>
      <c r="E104" s="50"/>
      <c r="F104" s="18"/>
      <c r="G104" s="74"/>
    </row>
    <row r="105" spans="3:7" ht="15.75" x14ac:dyDescent="0.45">
      <c r="D105" s="74">
        <v>1</v>
      </c>
      <c r="E105" s="50" t="s">
        <v>50</v>
      </c>
      <c r="F105" s="50"/>
      <c r="G105" s="74">
        <v>1</v>
      </c>
    </row>
    <row r="106" spans="3:7" ht="15.75" x14ac:dyDescent="0.45">
      <c r="D106" s="74">
        <v>1</v>
      </c>
      <c r="E106" s="50" t="s">
        <v>64</v>
      </c>
      <c r="F106" s="50"/>
      <c r="G106" s="74">
        <v>1</v>
      </c>
    </row>
    <row r="107" spans="3:7" ht="15.75" x14ac:dyDescent="0.45">
      <c r="D107" s="169">
        <f>D108*8</f>
        <v>16</v>
      </c>
      <c r="E107" s="50" t="s">
        <v>68</v>
      </c>
      <c r="F107" s="50"/>
      <c r="G107" s="169">
        <f>G108*8</f>
        <v>16</v>
      </c>
    </row>
    <row r="108" spans="3:7" ht="15.75" x14ac:dyDescent="0.45">
      <c r="D108" s="74">
        <v>2</v>
      </c>
      <c r="E108" s="50" t="s">
        <v>70</v>
      </c>
      <c r="F108" s="50"/>
      <c r="G108" s="74">
        <v>2</v>
      </c>
    </row>
    <row r="109" spans="3:7" ht="15.75" x14ac:dyDescent="0.45">
      <c r="D109" s="74">
        <v>2</v>
      </c>
      <c r="E109" s="50" t="s">
        <v>76</v>
      </c>
      <c r="F109" s="50"/>
      <c r="G109" s="74">
        <v>2</v>
      </c>
    </row>
    <row r="110" spans="3:7" ht="15.75" x14ac:dyDescent="0.45">
      <c r="D110" s="169">
        <f>D111*8</f>
        <v>32</v>
      </c>
      <c r="E110" s="50" t="s">
        <v>889</v>
      </c>
      <c r="F110" s="18"/>
      <c r="G110" s="169">
        <f>G111*8</f>
        <v>32</v>
      </c>
    </row>
    <row r="111" spans="3:7" ht="15.75" x14ac:dyDescent="0.45">
      <c r="D111" s="74">
        <v>4</v>
      </c>
      <c r="E111" s="50" t="s">
        <v>99</v>
      </c>
      <c r="F111" s="50"/>
      <c r="G111" s="74">
        <v>4</v>
      </c>
    </row>
    <row r="112" spans="3:7" ht="15.75" x14ac:dyDescent="0.45">
      <c r="D112" s="74">
        <v>4</v>
      </c>
      <c r="E112" s="50" t="s">
        <v>118</v>
      </c>
      <c r="F112" s="50"/>
      <c r="G112" s="74">
        <v>4</v>
      </c>
    </row>
    <row r="113" spans="2:7" ht="15.75" x14ac:dyDescent="0.45">
      <c r="D113" s="74"/>
      <c r="E113" s="50" t="s">
        <v>396</v>
      </c>
      <c r="F113" s="50"/>
      <c r="G113" s="74"/>
    </row>
    <row r="114" spans="2:7" ht="15.75" x14ac:dyDescent="0.45">
      <c r="D114" s="74">
        <v>1</v>
      </c>
      <c r="E114" s="50" t="s">
        <v>397</v>
      </c>
      <c r="F114" s="50"/>
      <c r="G114" s="74">
        <v>1</v>
      </c>
    </row>
    <row r="119" spans="2:7" ht="19.899999999999999" thickBot="1" x14ac:dyDescent="0.65">
      <c r="B119" s="6" t="s">
        <v>836</v>
      </c>
      <c r="C119" s="6"/>
    </row>
    <row r="120" spans="2:7" ht="14.65" thickTop="1" x14ac:dyDescent="0.45">
      <c r="D120" s="107" t="s">
        <v>822</v>
      </c>
    </row>
    <row r="121" spans="2:7" x14ac:dyDescent="0.45">
      <c r="D121" s="107"/>
    </row>
    <row r="123" spans="2:7" x14ac:dyDescent="0.45">
      <c r="D123" s="161" t="s">
        <v>208</v>
      </c>
      <c r="E123" s="161" t="s">
        <v>37</v>
      </c>
      <c r="F123" s="161" t="s">
        <v>247</v>
      </c>
      <c r="G123" s="161" t="s">
        <v>816</v>
      </c>
    </row>
    <row r="124" spans="2:7" ht="15.75" x14ac:dyDescent="0.45">
      <c r="D124" s="74">
        <v>10</v>
      </c>
      <c r="E124" s="50" t="s">
        <v>55</v>
      </c>
      <c r="F124" s="50" t="s">
        <v>242</v>
      </c>
      <c r="G124" s="74">
        <v>10</v>
      </c>
    </row>
    <row r="125" spans="2:7" ht="15.75" x14ac:dyDescent="0.45">
      <c r="D125" s="74">
        <v>12</v>
      </c>
      <c r="E125" s="50" t="s">
        <v>58</v>
      </c>
      <c r="F125" s="50" t="s">
        <v>242</v>
      </c>
      <c r="G125" s="74">
        <v>12</v>
      </c>
    </row>
    <row r="126" spans="2:7" ht="15.75" x14ac:dyDescent="0.45">
      <c r="D126" s="74"/>
      <c r="E126" s="50"/>
      <c r="F126" s="50"/>
      <c r="G126" s="74"/>
    </row>
    <row r="127" spans="2:7" ht="17.25" thickBot="1" x14ac:dyDescent="0.55000000000000004">
      <c r="C127" s="126" t="s">
        <v>19</v>
      </c>
      <c r="D127" s="74">
        <v>2</v>
      </c>
      <c r="E127" s="50" t="s">
        <v>138</v>
      </c>
      <c r="F127" s="50"/>
      <c r="G127" s="74">
        <v>2</v>
      </c>
    </row>
    <row r="128" spans="2:7" ht="16.149999999999999" thickTop="1" x14ac:dyDescent="0.45">
      <c r="D128" s="74"/>
      <c r="E128" s="50" t="s">
        <v>50</v>
      </c>
      <c r="F128" s="50"/>
      <c r="G128" s="74"/>
    </row>
    <row r="129" spans="3:7" ht="15.75" x14ac:dyDescent="0.45">
      <c r="D129" s="74"/>
      <c r="E129" s="167" t="s">
        <v>858</v>
      </c>
      <c r="F129" s="50"/>
      <c r="G129" s="74"/>
    </row>
    <row r="130" spans="3:7" ht="15.75" x14ac:dyDescent="0.45">
      <c r="D130" s="74">
        <v>1</v>
      </c>
      <c r="E130" s="50" t="s">
        <v>153</v>
      </c>
      <c r="F130" s="50"/>
      <c r="G130" s="74">
        <v>1</v>
      </c>
    </row>
    <row r="131" spans="3:7" ht="15.75" x14ac:dyDescent="0.45">
      <c r="D131" s="74">
        <v>2</v>
      </c>
      <c r="E131" s="50" t="s">
        <v>155</v>
      </c>
      <c r="F131" s="50"/>
      <c r="G131" s="74">
        <v>2</v>
      </c>
    </row>
    <row r="132" spans="3:7" ht="15.75" x14ac:dyDescent="0.45">
      <c r="D132" s="74">
        <v>1</v>
      </c>
      <c r="E132" s="50" t="s">
        <v>428</v>
      </c>
      <c r="F132" s="50"/>
      <c r="G132" s="74">
        <v>1</v>
      </c>
    </row>
    <row r="133" spans="3:7" ht="15.75" x14ac:dyDescent="0.45">
      <c r="D133" s="74">
        <v>1</v>
      </c>
      <c r="E133" s="50" t="s">
        <v>429</v>
      </c>
      <c r="F133" s="50"/>
      <c r="G133" s="74">
        <v>1</v>
      </c>
    </row>
    <row r="134" spans="3:7" ht="15.75" x14ac:dyDescent="0.45">
      <c r="D134" s="74">
        <v>1</v>
      </c>
      <c r="E134" s="50" t="s">
        <v>441</v>
      </c>
      <c r="F134" s="50"/>
      <c r="G134" s="74">
        <v>1</v>
      </c>
    </row>
    <row r="135" spans="3:7" ht="15.75" x14ac:dyDescent="0.45">
      <c r="D135" s="74">
        <v>1</v>
      </c>
      <c r="E135" s="50" t="s">
        <v>442</v>
      </c>
      <c r="F135" s="50"/>
      <c r="G135" s="74">
        <v>1</v>
      </c>
    </row>
    <row r="136" spans="3:7" ht="15.75" x14ac:dyDescent="0.45">
      <c r="D136" s="74">
        <v>2</v>
      </c>
      <c r="E136" s="50" t="s">
        <v>443</v>
      </c>
      <c r="F136" s="50"/>
      <c r="G136" s="74">
        <v>2</v>
      </c>
    </row>
    <row r="137" spans="3:7" ht="15.75" x14ac:dyDescent="0.45">
      <c r="D137" s="74">
        <v>2</v>
      </c>
      <c r="E137" s="50" t="s">
        <v>659</v>
      </c>
      <c r="F137" s="50"/>
      <c r="G137" s="74">
        <v>2</v>
      </c>
    </row>
    <row r="138" spans="3:7" ht="15.75" x14ac:dyDescent="0.45">
      <c r="D138" s="74"/>
      <c r="E138" s="50"/>
      <c r="F138" s="50"/>
      <c r="G138" s="74"/>
    </row>
    <row r="139" spans="3:7" ht="17.25" thickBot="1" x14ac:dyDescent="0.55000000000000004">
      <c r="C139" s="126" t="s">
        <v>17</v>
      </c>
      <c r="D139" s="74">
        <v>4</v>
      </c>
      <c r="E139" s="50" t="s">
        <v>138</v>
      </c>
      <c r="F139" s="50"/>
      <c r="G139" s="74">
        <v>4</v>
      </c>
    </row>
    <row r="140" spans="3:7" ht="16.149999999999999" thickTop="1" x14ac:dyDescent="0.45">
      <c r="D140" s="74"/>
      <c r="E140" s="50" t="s">
        <v>50</v>
      </c>
      <c r="F140" s="50"/>
      <c r="G140" s="74"/>
    </row>
    <row r="141" spans="3:7" ht="15.75" x14ac:dyDescent="0.45">
      <c r="D141" s="74"/>
      <c r="E141" s="167" t="s">
        <v>858</v>
      </c>
      <c r="F141" s="50"/>
      <c r="G141" s="74"/>
    </row>
    <row r="142" spans="3:7" ht="15.75" x14ac:dyDescent="0.45">
      <c r="D142" s="74">
        <v>3</v>
      </c>
      <c r="E142" s="50" t="s">
        <v>153</v>
      </c>
      <c r="F142" s="50"/>
      <c r="G142" s="74">
        <v>3</v>
      </c>
    </row>
    <row r="143" spans="3:7" ht="15.75" x14ac:dyDescent="0.45">
      <c r="D143" s="74">
        <v>5</v>
      </c>
      <c r="E143" s="50" t="s">
        <v>155</v>
      </c>
      <c r="F143" s="50"/>
      <c r="G143" s="74">
        <v>5</v>
      </c>
    </row>
    <row r="144" spans="3:7" ht="15.75" x14ac:dyDescent="0.45">
      <c r="D144" s="74">
        <v>3</v>
      </c>
      <c r="E144" s="50" t="s">
        <v>428</v>
      </c>
      <c r="F144" s="50"/>
      <c r="G144" s="74">
        <v>3</v>
      </c>
    </row>
    <row r="145" spans="2:7" ht="15.75" x14ac:dyDescent="0.45">
      <c r="D145" s="74">
        <v>3</v>
      </c>
      <c r="E145" s="50" t="s">
        <v>429</v>
      </c>
      <c r="F145" s="50"/>
      <c r="G145" s="74">
        <v>3</v>
      </c>
    </row>
    <row r="146" spans="2:7" ht="15.75" x14ac:dyDescent="0.45">
      <c r="D146" s="169">
        <f>D147*20</f>
        <v>80</v>
      </c>
      <c r="E146" s="50" t="s">
        <v>511</v>
      </c>
      <c r="F146" s="50"/>
      <c r="G146" s="169">
        <f>G147*20</f>
        <v>80</v>
      </c>
    </row>
    <row r="147" spans="2:7" ht="15.75" x14ac:dyDescent="0.45">
      <c r="D147" s="106">
        <v>4</v>
      </c>
      <c r="E147" s="50" t="s">
        <v>876</v>
      </c>
      <c r="F147" s="50"/>
      <c r="G147" s="106">
        <v>4</v>
      </c>
    </row>
    <row r="148" spans="2:7" ht="15.75" x14ac:dyDescent="0.45">
      <c r="D148" s="106">
        <v>3</v>
      </c>
      <c r="E148" s="50" t="s">
        <v>430</v>
      </c>
      <c r="F148" s="50"/>
      <c r="G148" s="106">
        <v>3</v>
      </c>
    </row>
    <row r="149" spans="2:7" ht="15.75" x14ac:dyDescent="0.45">
      <c r="D149" s="74">
        <v>1</v>
      </c>
      <c r="E149" s="50" t="s">
        <v>431</v>
      </c>
      <c r="F149" s="50"/>
      <c r="G149" s="74">
        <v>1</v>
      </c>
    </row>
    <row r="153" spans="2:7" ht="19.899999999999999" thickBot="1" x14ac:dyDescent="0.65">
      <c r="B153" s="6" t="s">
        <v>146</v>
      </c>
      <c r="C153" s="6"/>
    </row>
    <row r="154" spans="2:7" ht="14.65" thickTop="1" x14ac:dyDescent="0.45">
      <c r="D154" s="107"/>
    </row>
    <row r="155" spans="2:7" x14ac:dyDescent="0.45">
      <c r="D155" s="107"/>
    </row>
    <row r="157" spans="2:7" x14ac:dyDescent="0.45">
      <c r="D157" s="161" t="s">
        <v>208</v>
      </c>
      <c r="E157" s="161" t="s">
        <v>37</v>
      </c>
      <c r="F157" s="161" t="s">
        <v>247</v>
      </c>
      <c r="G157" s="161" t="s">
        <v>816</v>
      </c>
    </row>
    <row r="158" spans="2:7" ht="15.75" x14ac:dyDescent="0.45">
      <c r="D158" s="169">
        <f>D159*8</f>
        <v>24</v>
      </c>
      <c r="E158" s="50" t="s">
        <v>139</v>
      </c>
      <c r="F158" s="18"/>
      <c r="G158" s="169">
        <f>G159*8</f>
        <v>128</v>
      </c>
    </row>
    <row r="159" spans="2:7" ht="15.75" x14ac:dyDescent="0.45">
      <c r="D159" s="74">
        <v>3</v>
      </c>
      <c r="E159" s="50" t="s">
        <v>141</v>
      </c>
      <c r="F159" s="18"/>
      <c r="G159" s="74">
        <v>16</v>
      </c>
    </row>
    <row r="160" spans="2:7" ht="15.75" x14ac:dyDescent="0.45">
      <c r="D160" s="169">
        <f>D161*8</f>
        <v>16</v>
      </c>
      <c r="E160" s="50" t="s">
        <v>101</v>
      </c>
      <c r="F160" s="18"/>
      <c r="G160" s="169">
        <f>G161*8</f>
        <v>88</v>
      </c>
    </row>
    <row r="161" spans="2:7" ht="15.75" x14ac:dyDescent="0.45">
      <c r="D161" s="74">
        <v>2</v>
      </c>
      <c r="E161" s="50" t="s">
        <v>103</v>
      </c>
      <c r="F161" s="18"/>
      <c r="G161" s="74">
        <v>11</v>
      </c>
    </row>
    <row r="162" spans="2:7" ht="15.75" x14ac:dyDescent="0.45">
      <c r="D162" s="74">
        <v>1</v>
      </c>
      <c r="E162" s="50" t="s">
        <v>142</v>
      </c>
      <c r="F162" s="18"/>
      <c r="G162" s="74">
        <v>6</v>
      </c>
    </row>
    <row r="163" spans="2:7" ht="15.75" x14ac:dyDescent="0.45">
      <c r="D163" s="74">
        <v>1</v>
      </c>
      <c r="E163" s="50" t="s">
        <v>145</v>
      </c>
      <c r="F163" s="18"/>
      <c r="G163" s="74">
        <v>11</v>
      </c>
    </row>
    <row r="167" spans="2:7" ht="19.899999999999999" thickBot="1" x14ac:dyDescent="0.65">
      <c r="B167" s="6" t="s">
        <v>108</v>
      </c>
      <c r="C167" s="6"/>
    </row>
    <row r="168" spans="2:7" ht="14.65" thickTop="1" x14ac:dyDescent="0.45">
      <c r="D168" s="107"/>
    </row>
    <row r="169" spans="2:7" x14ac:dyDescent="0.45">
      <c r="D169" s="107"/>
    </row>
    <row r="171" spans="2:7" x14ac:dyDescent="0.45">
      <c r="D171" s="161" t="s">
        <v>208</v>
      </c>
      <c r="E171" s="161" t="s">
        <v>37</v>
      </c>
      <c r="F171" s="161" t="s">
        <v>247</v>
      </c>
      <c r="G171" s="161" t="s">
        <v>816</v>
      </c>
    </row>
    <row r="172" spans="2:7" ht="15.75" x14ac:dyDescent="0.45">
      <c r="D172" s="169">
        <f>D173*8</f>
        <v>16</v>
      </c>
      <c r="E172" s="50" t="s">
        <v>101</v>
      </c>
      <c r="F172" s="18"/>
      <c r="G172" s="169">
        <f>G173*8</f>
        <v>64</v>
      </c>
    </row>
    <row r="173" spans="2:7" ht="15.75" x14ac:dyDescent="0.45">
      <c r="D173" s="74">
        <v>2</v>
      </c>
      <c r="E173" s="50" t="s">
        <v>103</v>
      </c>
      <c r="F173" s="18"/>
      <c r="G173" s="74">
        <v>8</v>
      </c>
    </row>
    <row r="174" spans="2:7" ht="15.75" x14ac:dyDescent="0.45">
      <c r="D174" s="74">
        <v>1</v>
      </c>
      <c r="E174" s="167" t="s">
        <v>104</v>
      </c>
      <c r="F174" s="18"/>
      <c r="G174" s="74">
        <v>4</v>
      </c>
    </row>
    <row r="175" spans="2:7" ht="15.75" x14ac:dyDescent="0.45">
      <c r="D175" s="74">
        <v>2</v>
      </c>
      <c r="E175" s="167" t="s">
        <v>107</v>
      </c>
      <c r="F175" s="18"/>
      <c r="G175" s="74">
        <v>8</v>
      </c>
    </row>
    <row r="179" spans="2:7" ht="19.899999999999999" thickBot="1" x14ac:dyDescent="0.65">
      <c r="B179" s="6" t="s">
        <v>123</v>
      </c>
      <c r="C179" s="6"/>
    </row>
    <row r="180" spans="2:7" ht="14.65" thickTop="1" x14ac:dyDescent="0.45">
      <c r="D180" s="107"/>
    </row>
    <row r="181" spans="2:7" x14ac:dyDescent="0.45">
      <c r="D181" s="107"/>
    </row>
    <row r="183" spans="2:7" x14ac:dyDescent="0.45">
      <c r="D183" s="161" t="s">
        <v>208</v>
      </c>
      <c r="E183" s="161" t="s">
        <v>37</v>
      </c>
      <c r="F183" s="161" t="s">
        <v>247</v>
      </c>
      <c r="G183" s="161" t="s">
        <v>816</v>
      </c>
    </row>
    <row r="184" spans="2:7" ht="15.75" x14ac:dyDescent="0.45">
      <c r="D184" s="74">
        <v>1</v>
      </c>
      <c r="E184" s="167" t="s">
        <v>138</v>
      </c>
      <c r="F184" s="18"/>
      <c r="G184" s="74">
        <v>1</v>
      </c>
    </row>
    <row r="185" spans="2:7" ht="15.75" x14ac:dyDescent="0.45">
      <c r="D185" s="74"/>
      <c r="E185" s="167" t="s">
        <v>50</v>
      </c>
      <c r="F185" s="18"/>
      <c r="G185" s="74"/>
    </row>
    <row r="186" spans="2:7" ht="15.75" x14ac:dyDescent="0.45">
      <c r="D186" s="74"/>
      <c r="E186" s="167" t="s">
        <v>858</v>
      </c>
      <c r="F186" s="18"/>
      <c r="G186" s="74"/>
    </row>
    <row r="187" spans="2:7" ht="15.75" x14ac:dyDescent="0.45">
      <c r="D187" s="74">
        <v>1</v>
      </c>
      <c r="E187" s="50" t="s">
        <v>125</v>
      </c>
      <c r="F187" s="18"/>
      <c r="G187" s="74">
        <v>1</v>
      </c>
    </row>
    <row r="188" spans="2:7" ht="15.75" x14ac:dyDescent="0.45">
      <c r="D188" s="74">
        <v>2</v>
      </c>
      <c r="E188" s="167" t="s">
        <v>122</v>
      </c>
      <c r="F188" s="18"/>
      <c r="G188" s="74">
        <v>2</v>
      </c>
    </row>
    <row r="192" spans="2:7" ht="19.899999999999999" thickBot="1" x14ac:dyDescent="0.65">
      <c r="B192" s="6" t="s">
        <v>660</v>
      </c>
      <c r="C192" s="6"/>
    </row>
    <row r="193" spans="4:7" ht="14.65" thickTop="1" x14ac:dyDescent="0.45">
      <c r="D193" s="107"/>
    </row>
    <row r="194" spans="4:7" x14ac:dyDescent="0.45">
      <c r="D194" s="107"/>
    </row>
    <row r="196" spans="4:7" x14ac:dyDescent="0.45">
      <c r="D196" s="161" t="s">
        <v>208</v>
      </c>
      <c r="E196" s="161" t="s">
        <v>37</v>
      </c>
      <c r="F196" s="161" t="s">
        <v>247</v>
      </c>
      <c r="G196" s="161" t="s">
        <v>816</v>
      </c>
    </row>
    <row r="197" spans="4:7" ht="15.75" x14ac:dyDescent="0.45">
      <c r="D197" s="198">
        <f>D198*8</f>
        <v>24</v>
      </c>
      <c r="E197" s="50" t="s">
        <v>68</v>
      </c>
      <c r="F197" s="50"/>
      <c r="G197" s="198">
        <f>G198*8</f>
        <v>32</v>
      </c>
    </row>
    <row r="198" spans="4:7" ht="15.75" x14ac:dyDescent="0.45">
      <c r="D198" s="74">
        <v>3</v>
      </c>
      <c r="E198" s="50" t="s">
        <v>70</v>
      </c>
      <c r="F198" s="50"/>
      <c r="G198" s="74">
        <v>4</v>
      </c>
    </row>
    <row r="199" spans="4:7" ht="15.75" x14ac:dyDescent="0.45">
      <c r="D199" s="198">
        <f>D200*8</f>
        <v>96</v>
      </c>
      <c r="E199" s="50" t="s">
        <v>653</v>
      </c>
      <c r="F199" s="50"/>
      <c r="G199" s="198">
        <f>G200*8</f>
        <v>104</v>
      </c>
    </row>
    <row r="200" spans="4:7" ht="15.75" x14ac:dyDescent="0.45">
      <c r="D200" s="74">
        <v>12</v>
      </c>
      <c r="E200" s="50" t="s">
        <v>425</v>
      </c>
      <c r="F200" s="50"/>
      <c r="G200" s="74">
        <v>13</v>
      </c>
    </row>
    <row r="201" spans="4:7" ht="15.75" x14ac:dyDescent="0.45">
      <c r="D201" s="74">
        <v>2</v>
      </c>
      <c r="E201" s="50" t="s">
        <v>50</v>
      </c>
      <c r="F201" s="50"/>
      <c r="G201" s="74">
        <v>3</v>
      </c>
    </row>
    <row r="202" spans="4:7" ht="15.75" x14ac:dyDescent="0.45">
      <c r="D202" s="74">
        <v>4</v>
      </c>
      <c r="E202" s="50" t="s">
        <v>90</v>
      </c>
      <c r="F202" s="50"/>
      <c r="G202" s="74">
        <v>5</v>
      </c>
    </row>
    <row r="203" spans="4:7" ht="15.75" x14ac:dyDescent="0.45">
      <c r="D203" s="74">
        <v>8</v>
      </c>
      <c r="E203" s="50" t="s">
        <v>92</v>
      </c>
      <c r="F203" s="50"/>
      <c r="G203" s="74">
        <v>9</v>
      </c>
    </row>
    <row r="204" spans="4:7" ht="15.75" x14ac:dyDescent="0.45">
      <c r="D204" s="74">
        <v>6</v>
      </c>
      <c r="E204" s="50" t="s">
        <v>426</v>
      </c>
      <c r="F204" s="50"/>
      <c r="G204" s="74">
        <v>7</v>
      </c>
    </row>
    <row r="205" spans="4:7" ht="15.75" x14ac:dyDescent="0.45">
      <c r="D205" s="74">
        <v>4</v>
      </c>
      <c r="E205" s="50" t="s">
        <v>427</v>
      </c>
      <c r="F205" s="50"/>
      <c r="G205" s="74">
        <v>5</v>
      </c>
    </row>
    <row r="209" spans="2:7" ht="19.899999999999999" thickBot="1" x14ac:dyDescent="0.65">
      <c r="B209" s="6" t="s">
        <v>116</v>
      </c>
      <c r="C209" s="6"/>
    </row>
    <row r="210" spans="2:7" ht="14.65" thickTop="1" x14ac:dyDescent="0.45">
      <c r="D210" s="107"/>
    </row>
    <row r="211" spans="2:7" x14ac:dyDescent="0.45">
      <c r="D211" s="107"/>
    </row>
    <row r="213" spans="2:7" x14ac:dyDescent="0.45">
      <c r="D213" s="161" t="s">
        <v>208</v>
      </c>
      <c r="E213" s="161" t="s">
        <v>37</v>
      </c>
      <c r="F213" s="161" t="s">
        <v>247</v>
      </c>
      <c r="G213" s="161" t="s">
        <v>816</v>
      </c>
    </row>
    <row r="214" spans="2:7" ht="15.75" x14ac:dyDescent="0.45">
      <c r="D214" s="169">
        <f>D215*8</f>
        <v>16</v>
      </c>
      <c r="E214" s="50" t="s">
        <v>112</v>
      </c>
      <c r="F214" s="18"/>
      <c r="G214" s="169">
        <f>G215*8</f>
        <v>128</v>
      </c>
    </row>
    <row r="215" spans="2:7" ht="15.75" x14ac:dyDescent="0.45">
      <c r="D215" s="74">
        <v>2</v>
      </c>
      <c r="E215" s="50" t="s">
        <v>114</v>
      </c>
      <c r="F215" s="18"/>
      <c r="G215" s="74">
        <v>16</v>
      </c>
    </row>
    <row r="216" spans="2:7" ht="15.75" x14ac:dyDescent="0.45">
      <c r="D216" s="74">
        <v>1</v>
      </c>
      <c r="E216" s="50" t="s">
        <v>115</v>
      </c>
      <c r="F216" s="18"/>
      <c r="G216" s="74">
        <v>8</v>
      </c>
    </row>
    <row r="220" spans="2:7" ht="19.899999999999999" thickBot="1" x14ac:dyDescent="0.65">
      <c r="B220" s="6" t="s">
        <v>137</v>
      </c>
      <c r="C220" s="6"/>
    </row>
    <row r="221" spans="2:7" ht="14.65" thickTop="1" x14ac:dyDescent="0.45"/>
    <row r="224" spans="2:7" x14ac:dyDescent="0.45">
      <c r="D224" s="161" t="s">
        <v>208</v>
      </c>
      <c r="E224" s="161" t="s">
        <v>37</v>
      </c>
      <c r="F224" s="161" t="s">
        <v>247</v>
      </c>
      <c r="G224" s="161" t="s">
        <v>816</v>
      </c>
    </row>
    <row r="225" spans="3:7" ht="17.25" thickBot="1" x14ac:dyDescent="0.55000000000000004">
      <c r="C225" s="126" t="s">
        <v>837</v>
      </c>
      <c r="D225" s="198">
        <f>D226*8</f>
        <v>32</v>
      </c>
      <c r="E225" s="50" t="s">
        <v>889</v>
      </c>
      <c r="F225" s="50"/>
      <c r="G225" s="198">
        <f>G226*8</f>
        <v>344</v>
      </c>
    </row>
    <row r="226" spans="3:7" ht="16.149999999999999" thickTop="1" x14ac:dyDescent="0.45">
      <c r="D226" s="74">
        <v>4</v>
      </c>
      <c r="E226" s="50" t="s">
        <v>99</v>
      </c>
      <c r="F226" s="50"/>
      <c r="G226" s="74">
        <v>43</v>
      </c>
    </row>
    <row r="227" spans="3:7" ht="15.75" x14ac:dyDescent="0.45">
      <c r="D227" s="198">
        <f>D228*8</f>
        <v>0</v>
      </c>
      <c r="E227" s="50" t="s">
        <v>132</v>
      </c>
      <c r="F227" s="50"/>
      <c r="G227" s="198">
        <f>G228*8</f>
        <v>0</v>
      </c>
    </row>
    <row r="228" spans="3:7" ht="15.75" x14ac:dyDescent="0.45">
      <c r="D228" s="74"/>
      <c r="E228" s="50" t="s">
        <v>133</v>
      </c>
      <c r="F228" s="50"/>
      <c r="G228" s="74"/>
    </row>
    <row r="229" spans="3:7" ht="15.75" x14ac:dyDescent="0.45">
      <c r="D229" s="74">
        <v>2</v>
      </c>
      <c r="E229" s="50" t="s">
        <v>100</v>
      </c>
      <c r="F229" s="50"/>
      <c r="G229" s="74">
        <v>22</v>
      </c>
    </row>
    <row r="230" spans="3:7" ht="15.75" x14ac:dyDescent="0.45">
      <c r="D230" s="74"/>
      <c r="E230" s="50" t="s">
        <v>414</v>
      </c>
      <c r="F230" s="50"/>
      <c r="G230" s="74"/>
    </row>
    <row r="231" spans="3:7" ht="15.75" x14ac:dyDescent="0.45">
      <c r="D231" s="74">
        <v>1</v>
      </c>
      <c r="E231" s="50" t="s">
        <v>846</v>
      </c>
      <c r="F231" s="50"/>
      <c r="G231" s="74">
        <v>11</v>
      </c>
    </row>
    <row r="233" spans="3:7" x14ac:dyDescent="0.45">
      <c r="D233" s="161" t="s">
        <v>208</v>
      </c>
      <c r="E233" s="161" t="s">
        <v>37</v>
      </c>
      <c r="F233" s="161" t="s">
        <v>247</v>
      </c>
      <c r="G233" s="161" t="s">
        <v>816</v>
      </c>
    </row>
    <row r="234" spans="3:7" ht="17.25" thickBot="1" x14ac:dyDescent="0.55000000000000004">
      <c r="C234" s="126" t="s">
        <v>840</v>
      </c>
      <c r="D234" s="198">
        <f>D235*8</f>
        <v>96</v>
      </c>
      <c r="E234" s="50" t="s">
        <v>889</v>
      </c>
      <c r="F234" s="50"/>
      <c r="G234" s="198">
        <f>G235*8</f>
        <v>344</v>
      </c>
    </row>
    <row r="235" spans="3:7" ht="16.149999999999999" thickTop="1" x14ac:dyDescent="0.45">
      <c r="D235" s="74">
        <v>12</v>
      </c>
      <c r="E235" s="50" t="s">
        <v>99</v>
      </c>
      <c r="F235" s="50"/>
      <c r="G235" s="74">
        <v>43</v>
      </c>
    </row>
    <row r="236" spans="3:7" ht="15.75" x14ac:dyDescent="0.45">
      <c r="D236" s="198">
        <f>D237*8</f>
        <v>0</v>
      </c>
      <c r="E236" s="50" t="s">
        <v>132</v>
      </c>
      <c r="F236" s="50"/>
      <c r="G236" s="198">
        <f>G237*8</f>
        <v>0</v>
      </c>
    </row>
    <row r="237" spans="3:7" ht="15.75" x14ac:dyDescent="0.45">
      <c r="D237" s="74"/>
      <c r="E237" s="50" t="s">
        <v>133</v>
      </c>
      <c r="F237" s="50"/>
      <c r="G237" s="74"/>
    </row>
    <row r="238" spans="3:7" ht="15.75" x14ac:dyDescent="0.45">
      <c r="D238" s="74"/>
      <c r="E238" s="50" t="s">
        <v>100</v>
      </c>
      <c r="F238" s="50"/>
      <c r="G238" s="74"/>
    </row>
    <row r="239" spans="3:7" ht="15.75" x14ac:dyDescent="0.45">
      <c r="D239" s="74">
        <v>4</v>
      </c>
      <c r="E239" s="50" t="s">
        <v>414</v>
      </c>
      <c r="F239" s="50"/>
      <c r="G239" s="74">
        <v>15</v>
      </c>
    </row>
    <row r="240" spans="3:7" ht="15.75" x14ac:dyDescent="0.45">
      <c r="D240" s="74">
        <v>3</v>
      </c>
      <c r="E240" s="50" t="s">
        <v>846</v>
      </c>
      <c r="F240" s="50"/>
      <c r="G240" s="74">
        <v>11</v>
      </c>
    </row>
    <row r="242" spans="3:7" x14ac:dyDescent="0.45">
      <c r="D242" s="161" t="s">
        <v>208</v>
      </c>
      <c r="E242" s="161" t="s">
        <v>37</v>
      </c>
      <c r="F242" s="161" t="s">
        <v>247</v>
      </c>
      <c r="G242" s="161" t="s">
        <v>816</v>
      </c>
    </row>
    <row r="243" spans="3:7" ht="17.25" thickBot="1" x14ac:dyDescent="0.55000000000000004">
      <c r="C243" s="126" t="s">
        <v>856</v>
      </c>
      <c r="D243" s="198">
        <f>D244*8</f>
        <v>0</v>
      </c>
      <c r="E243" s="50" t="s">
        <v>889</v>
      </c>
      <c r="F243" s="50"/>
      <c r="G243" s="198">
        <f>G244*8</f>
        <v>0</v>
      </c>
    </row>
    <row r="244" spans="3:7" ht="16.149999999999999" thickTop="1" x14ac:dyDescent="0.45">
      <c r="D244" s="74"/>
      <c r="E244" s="50" t="s">
        <v>99</v>
      </c>
      <c r="F244" s="50"/>
      <c r="G244" s="74"/>
    </row>
    <row r="245" spans="3:7" ht="15.75" x14ac:dyDescent="0.45">
      <c r="D245" s="198">
        <f>D246*8</f>
        <v>16</v>
      </c>
      <c r="E245" s="50" t="s">
        <v>132</v>
      </c>
      <c r="F245" s="50"/>
      <c r="G245" s="198">
        <f>G246*8</f>
        <v>176</v>
      </c>
    </row>
    <row r="246" spans="3:7" ht="15.75" x14ac:dyDescent="0.45">
      <c r="D246" s="74">
        <v>2</v>
      </c>
      <c r="E246" s="50" t="s">
        <v>133</v>
      </c>
      <c r="F246" s="50"/>
      <c r="G246" s="74">
        <v>22</v>
      </c>
    </row>
    <row r="247" spans="3:7" ht="15.75" x14ac:dyDescent="0.45">
      <c r="D247" s="74">
        <v>2</v>
      </c>
      <c r="E247" s="50" t="s">
        <v>100</v>
      </c>
      <c r="F247" s="50"/>
      <c r="G247" s="74">
        <v>22</v>
      </c>
    </row>
    <row r="248" spans="3:7" ht="15.75" x14ac:dyDescent="0.45">
      <c r="D248" s="74"/>
      <c r="E248" s="50" t="s">
        <v>414</v>
      </c>
      <c r="F248" s="50"/>
      <c r="G248" s="74"/>
    </row>
    <row r="249" spans="3:7" ht="15.75" x14ac:dyDescent="0.45">
      <c r="D249" s="74">
        <v>1</v>
      </c>
      <c r="E249" s="50" t="s">
        <v>846</v>
      </c>
      <c r="F249" s="50"/>
      <c r="G249" s="74">
        <v>11</v>
      </c>
    </row>
    <row r="251" spans="3:7" x14ac:dyDescent="0.45">
      <c r="D251" s="161" t="s">
        <v>208</v>
      </c>
      <c r="E251" s="161" t="s">
        <v>37</v>
      </c>
      <c r="F251" s="161" t="s">
        <v>247</v>
      </c>
      <c r="G251" s="161" t="s">
        <v>816</v>
      </c>
    </row>
    <row r="252" spans="3:7" ht="17.25" thickBot="1" x14ac:dyDescent="0.55000000000000004">
      <c r="C252" s="126" t="s">
        <v>857</v>
      </c>
      <c r="D252" s="198">
        <f>D253*8</f>
        <v>0</v>
      </c>
      <c r="E252" s="50" t="s">
        <v>889</v>
      </c>
      <c r="F252" s="50"/>
      <c r="G252" s="198">
        <f>G253*8</f>
        <v>0</v>
      </c>
    </row>
    <row r="253" spans="3:7" ht="16.149999999999999" thickTop="1" x14ac:dyDescent="0.45">
      <c r="D253" s="74"/>
      <c r="E253" s="50" t="s">
        <v>99</v>
      </c>
      <c r="F253" s="50"/>
      <c r="G253" s="74"/>
    </row>
    <row r="254" spans="3:7" ht="15.75" x14ac:dyDescent="0.45">
      <c r="D254" s="198">
        <f>D255*8</f>
        <v>48</v>
      </c>
      <c r="E254" s="50" t="s">
        <v>132</v>
      </c>
      <c r="F254" s="50"/>
      <c r="G254" s="198">
        <f>G255*8</f>
        <v>176</v>
      </c>
    </row>
    <row r="255" spans="3:7" ht="15.75" x14ac:dyDescent="0.45">
      <c r="D255" s="74">
        <v>6</v>
      </c>
      <c r="E255" s="50" t="s">
        <v>133</v>
      </c>
      <c r="F255" s="50"/>
      <c r="G255" s="74">
        <v>22</v>
      </c>
    </row>
    <row r="256" spans="3:7" ht="15.75" x14ac:dyDescent="0.45">
      <c r="D256" s="74"/>
      <c r="E256" s="50" t="s">
        <v>100</v>
      </c>
      <c r="F256" s="50"/>
      <c r="G256" s="74"/>
    </row>
    <row r="257" spans="2:7" ht="15.75" x14ac:dyDescent="0.45">
      <c r="D257" s="74">
        <v>4</v>
      </c>
      <c r="E257" s="50" t="s">
        <v>414</v>
      </c>
      <c r="F257" s="50"/>
      <c r="G257" s="74">
        <v>15</v>
      </c>
    </row>
    <row r="258" spans="2:7" ht="15.75" x14ac:dyDescent="0.45">
      <c r="D258" s="74">
        <v>3</v>
      </c>
      <c r="E258" s="50" t="s">
        <v>846</v>
      </c>
      <c r="F258" s="50"/>
      <c r="G258" s="74">
        <v>11</v>
      </c>
    </row>
    <row r="262" spans="2:7" ht="19.899999999999999" thickBot="1" x14ac:dyDescent="0.65">
      <c r="B262" s="6" t="s">
        <v>120</v>
      </c>
      <c r="C262" s="6"/>
    </row>
    <row r="263" spans="2:7" ht="14.65" thickTop="1" x14ac:dyDescent="0.45"/>
    <row r="266" spans="2:7" x14ac:dyDescent="0.45">
      <c r="D266" s="161" t="s">
        <v>208</v>
      </c>
      <c r="E266" s="161" t="s">
        <v>37</v>
      </c>
      <c r="F266" s="161" t="s">
        <v>247</v>
      </c>
      <c r="G266" s="161" t="s">
        <v>816</v>
      </c>
    </row>
    <row r="267" spans="2:7" ht="17.25" thickBot="1" x14ac:dyDescent="0.55000000000000004">
      <c r="C267" s="126" t="s">
        <v>858</v>
      </c>
      <c r="D267" s="74">
        <v>1</v>
      </c>
      <c r="E267" s="50" t="s">
        <v>50</v>
      </c>
      <c r="F267" s="50"/>
      <c r="G267" s="74"/>
    </row>
    <row r="268" spans="2:7" ht="16.149999999999999" thickTop="1" x14ac:dyDescent="0.45">
      <c r="D268" s="74">
        <v>1</v>
      </c>
      <c r="E268" s="50" t="s">
        <v>858</v>
      </c>
      <c r="F268" s="50"/>
      <c r="G268" s="74"/>
    </row>
    <row r="270" spans="2:7" x14ac:dyDescent="0.45">
      <c r="D270" s="161" t="s">
        <v>208</v>
      </c>
      <c r="E270" s="161" t="s">
        <v>37</v>
      </c>
      <c r="F270" s="161" t="s">
        <v>247</v>
      </c>
      <c r="G270" s="161" t="s">
        <v>816</v>
      </c>
    </row>
    <row r="271" spans="2:7" ht="17.25" thickBot="1" x14ac:dyDescent="0.55000000000000004">
      <c r="C271" s="126" t="s">
        <v>138</v>
      </c>
      <c r="D271" s="74">
        <v>1</v>
      </c>
      <c r="E271" s="50" t="s">
        <v>138</v>
      </c>
      <c r="F271" s="50"/>
      <c r="G271" s="74"/>
    </row>
    <row r="272" spans="2:7" ht="14.65" thickTop="1" x14ac:dyDescent="0.45"/>
    <row r="273" spans="2:7" x14ac:dyDescent="0.45">
      <c r="D273" s="161" t="s">
        <v>208</v>
      </c>
      <c r="E273" s="161" t="s">
        <v>37</v>
      </c>
      <c r="F273" s="161" t="s">
        <v>247</v>
      </c>
      <c r="G273" s="161" t="s">
        <v>816</v>
      </c>
    </row>
    <row r="274" spans="2:7" ht="17.25" thickBot="1" x14ac:dyDescent="0.55000000000000004">
      <c r="C274" s="126" t="s">
        <v>869</v>
      </c>
      <c r="D274" s="74">
        <v>1</v>
      </c>
      <c r="E274" s="50" t="s">
        <v>138</v>
      </c>
      <c r="F274" s="50"/>
      <c r="G274" s="74"/>
    </row>
    <row r="275" spans="2:7" ht="16.149999999999999" thickTop="1" x14ac:dyDescent="0.45">
      <c r="D275" s="74"/>
      <c r="E275" s="50" t="s">
        <v>50</v>
      </c>
      <c r="F275" s="50"/>
      <c r="G275" s="74"/>
    </row>
    <row r="276" spans="2:7" ht="15.75" x14ac:dyDescent="0.45">
      <c r="D276" s="74"/>
      <c r="E276" s="50" t="s">
        <v>858</v>
      </c>
      <c r="F276" s="50"/>
      <c r="G276" s="74"/>
    </row>
    <row r="280" spans="2:7" ht="19.899999999999999" thickBot="1" x14ac:dyDescent="0.65">
      <c r="B280" s="6" t="s">
        <v>367</v>
      </c>
      <c r="C280" s="6"/>
    </row>
    <row r="281" spans="2:7" ht="14.65" thickTop="1" x14ac:dyDescent="0.45">
      <c r="D281" s="107" t="s">
        <v>870</v>
      </c>
    </row>
    <row r="284" spans="2:7" x14ac:dyDescent="0.45">
      <c r="D284" s="161" t="s">
        <v>208</v>
      </c>
      <c r="E284" s="161" t="s">
        <v>37</v>
      </c>
      <c r="F284" s="161" t="s">
        <v>247</v>
      </c>
      <c r="G284" s="161" t="s">
        <v>816</v>
      </c>
    </row>
    <row r="285" spans="2:7" ht="17.25" thickBot="1" x14ac:dyDescent="0.55000000000000004">
      <c r="C285" s="126" t="s">
        <v>837</v>
      </c>
      <c r="D285" s="198">
        <f>D286*8</f>
        <v>16</v>
      </c>
      <c r="E285" s="50" t="s">
        <v>889</v>
      </c>
      <c r="F285" s="50"/>
      <c r="G285" s="198">
        <f>G286*8</f>
        <v>24</v>
      </c>
    </row>
    <row r="286" spans="2:7" ht="16.149999999999999" thickTop="1" x14ac:dyDescent="0.45">
      <c r="D286" s="74">
        <v>2</v>
      </c>
      <c r="E286" s="50" t="s">
        <v>99</v>
      </c>
      <c r="F286" s="50"/>
      <c r="G286" s="74">
        <v>3</v>
      </c>
    </row>
    <row r="287" spans="2:7" ht="15.75" x14ac:dyDescent="0.45">
      <c r="D287" s="198">
        <f>D288*8</f>
        <v>0</v>
      </c>
      <c r="E287" s="50" t="s">
        <v>132</v>
      </c>
      <c r="F287" s="50"/>
      <c r="G287" s="198">
        <f>G288*8</f>
        <v>0</v>
      </c>
    </row>
    <row r="288" spans="2:7" ht="15.75" x14ac:dyDescent="0.45">
      <c r="D288" s="74"/>
      <c r="E288" s="50" t="s">
        <v>133</v>
      </c>
      <c r="F288" s="50"/>
      <c r="G288" s="74"/>
    </row>
    <row r="289" spans="3:7" ht="15.75" x14ac:dyDescent="0.45">
      <c r="D289" s="74">
        <v>1</v>
      </c>
      <c r="E289" s="50" t="s">
        <v>100</v>
      </c>
      <c r="F289" s="50"/>
      <c r="G289" s="74">
        <v>2</v>
      </c>
    </row>
    <row r="290" spans="3:7" ht="15.75" x14ac:dyDescent="0.45">
      <c r="D290" s="74"/>
      <c r="E290" s="50" t="s">
        <v>414</v>
      </c>
      <c r="F290" s="50"/>
      <c r="G290" s="74"/>
    </row>
    <row r="292" spans="3:7" x14ac:dyDescent="0.45">
      <c r="D292" s="161" t="s">
        <v>208</v>
      </c>
      <c r="E292" s="161" t="s">
        <v>37</v>
      </c>
      <c r="F292" s="161" t="s">
        <v>247</v>
      </c>
      <c r="G292" s="161" t="s">
        <v>816</v>
      </c>
    </row>
    <row r="293" spans="3:7" ht="17.25" thickBot="1" x14ac:dyDescent="0.55000000000000004">
      <c r="C293" s="126" t="s">
        <v>840</v>
      </c>
      <c r="D293" s="198">
        <f>D294*8</f>
        <v>24</v>
      </c>
      <c r="E293" s="50" t="s">
        <v>889</v>
      </c>
      <c r="F293" s="50"/>
      <c r="G293" s="198">
        <f>G294*8</f>
        <v>24</v>
      </c>
    </row>
    <row r="294" spans="3:7" ht="16.149999999999999" thickTop="1" x14ac:dyDescent="0.45">
      <c r="D294" s="74">
        <v>3</v>
      </c>
      <c r="E294" s="50" t="s">
        <v>99</v>
      </c>
      <c r="F294" s="50"/>
      <c r="G294" s="74">
        <v>3</v>
      </c>
    </row>
    <row r="295" spans="3:7" ht="15.75" x14ac:dyDescent="0.45">
      <c r="D295" s="198">
        <f>D296*8</f>
        <v>0</v>
      </c>
      <c r="E295" s="50" t="s">
        <v>132</v>
      </c>
      <c r="F295" s="50"/>
      <c r="G295" s="198">
        <f>G296*8</f>
        <v>0</v>
      </c>
    </row>
    <row r="296" spans="3:7" ht="15.75" x14ac:dyDescent="0.45">
      <c r="D296" s="74"/>
      <c r="E296" s="50" t="s">
        <v>133</v>
      </c>
      <c r="F296" s="50"/>
      <c r="G296" s="74"/>
    </row>
    <row r="297" spans="3:7" ht="15.75" x14ac:dyDescent="0.45">
      <c r="D297" s="74"/>
      <c r="E297" s="50" t="s">
        <v>100</v>
      </c>
      <c r="F297" s="50"/>
      <c r="G297" s="74"/>
    </row>
    <row r="298" spans="3:7" ht="15.75" x14ac:dyDescent="0.45">
      <c r="D298" s="74">
        <v>1</v>
      </c>
      <c r="E298" s="50" t="s">
        <v>414</v>
      </c>
      <c r="F298" s="50"/>
      <c r="G298" s="74">
        <v>1</v>
      </c>
    </row>
    <row r="300" spans="3:7" x14ac:dyDescent="0.45">
      <c r="D300" s="161" t="s">
        <v>208</v>
      </c>
      <c r="E300" s="161" t="s">
        <v>37</v>
      </c>
      <c r="F300" s="161" t="s">
        <v>247</v>
      </c>
      <c r="G300" s="161" t="s">
        <v>816</v>
      </c>
    </row>
    <row r="301" spans="3:7" ht="17.25" thickBot="1" x14ac:dyDescent="0.55000000000000004">
      <c r="C301" s="126" t="s">
        <v>856</v>
      </c>
      <c r="D301" s="198">
        <f>D302*8</f>
        <v>0</v>
      </c>
      <c r="E301" s="50" t="s">
        <v>889</v>
      </c>
      <c r="F301" s="50"/>
      <c r="G301" s="198">
        <f>G302*8</f>
        <v>0</v>
      </c>
    </row>
    <row r="302" spans="3:7" ht="16.149999999999999" thickTop="1" x14ac:dyDescent="0.45">
      <c r="D302" s="74"/>
      <c r="E302" s="50" t="s">
        <v>99</v>
      </c>
      <c r="F302" s="50"/>
      <c r="G302" s="74"/>
    </row>
    <row r="303" spans="3:7" ht="15.75" x14ac:dyDescent="0.45">
      <c r="D303" s="198">
        <f>D304*8</f>
        <v>8</v>
      </c>
      <c r="E303" s="50" t="s">
        <v>132</v>
      </c>
      <c r="F303" s="50"/>
      <c r="G303" s="198">
        <f>G304*8</f>
        <v>16</v>
      </c>
    </row>
    <row r="304" spans="3:7" ht="15.75" x14ac:dyDescent="0.45">
      <c r="D304" s="74">
        <v>1</v>
      </c>
      <c r="E304" s="50" t="s">
        <v>133</v>
      </c>
      <c r="F304" s="50"/>
      <c r="G304" s="74">
        <v>2</v>
      </c>
    </row>
    <row r="305" spans="2:7" ht="15.75" x14ac:dyDescent="0.45">
      <c r="D305" s="74">
        <v>1</v>
      </c>
      <c r="E305" s="50" t="s">
        <v>100</v>
      </c>
      <c r="F305" s="50"/>
      <c r="G305" s="74">
        <v>2</v>
      </c>
    </row>
    <row r="306" spans="2:7" ht="15.75" x14ac:dyDescent="0.45">
      <c r="D306" s="74"/>
      <c r="E306" s="50" t="s">
        <v>414</v>
      </c>
      <c r="F306" s="50"/>
      <c r="G306" s="74"/>
    </row>
    <row r="308" spans="2:7" x14ac:dyDescent="0.45">
      <c r="D308" s="161" t="s">
        <v>208</v>
      </c>
      <c r="E308" s="161" t="s">
        <v>37</v>
      </c>
      <c r="F308" s="161" t="s">
        <v>247</v>
      </c>
      <c r="G308" s="161" t="s">
        <v>816</v>
      </c>
    </row>
    <row r="309" spans="2:7" ht="17.25" thickBot="1" x14ac:dyDescent="0.55000000000000004">
      <c r="C309" s="126" t="s">
        <v>857</v>
      </c>
      <c r="D309" s="198">
        <f>D310*8</f>
        <v>0</v>
      </c>
      <c r="E309" s="50" t="s">
        <v>889</v>
      </c>
      <c r="F309" s="50"/>
      <c r="G309" s="198">
        <f>G310*8</f>
        <v>0</v>
      </c>
    </row>
    <row r="310" spans="2:7" ht="16.149999999999999" thickTop="1" x14ac:dyDescent="0.45">
      <c r="D310" s="74"/>
      <c r="E310" s="50" t="s">
        <v>99</v>
      </c>
      <c r="F310" s="50"/>
      <c r="G310" s="74"/>
    </row>
    <row r="311" spans="2:7" ht="15.75" x14ac:dyDescent="0.45">
      <c r="D311" s="198">
        <f>D312*8</f>
        <v>24</v>
      </c>
      <c r="E311" s="50" t="s">
        <v>132</v>
      </c>
      <c r="F311" s="50"/>
      <c r="G311" s="198">
        <f>G312*8</f>
        <v>16</v>
      </c>
    </row>
    <row r="312" spans="2:7" ht="15.75" x14ac:dyDescent="0.45">
      <c r="D312" s="74">
        <v>3</v>
      </c>
      <c r="E312" s="50" t="s">
        <v>133</v>
      </c>
      <c r="F312" s="50"/>
      <c r="G312" s="74">
        <v>2</v>
      </c>
    </row>
    <row r="313" spans="2:7" ht="15.75" x14ac:dyDescent="0.45">
      <c r="D313" s="74"/>
      <c r="E313" s="50" t="s">
        <v>100</v>
      </c>
      <c r="F313" s="50"/>
      <c r="G313" s="74"/>
    </row>
    <row r="314" spans="2:7" ht="15.75" x14ac:dyDescent="0.45">
      <c r="D314" s="74">
        <v>2</v>
      </c>
      <c r="E314" s="50" t="s">
        <v>414</v>
      </c>
      <c r="F314" s="50"/>
      <c r="G314" s="74">
        <v>1</v>
      </c>
    </row>
    <row r="318" spans="2:7" ht="19.899999999999999" thickBot="1" x14ac:dyDescent="0.65">
      <c r="B318" s="6" t="s">
        <v>379</v>
      </c>
      <c r="C318" s="6"/>
    </row>
    <row r="319" spans="2:7" ht="14.65" thickTop="1" x14ac:dyDescent="0.45">
      <c r="D319" s="107"/>
    </row>
    <row r="322" spans="2:7" x14ac:dyDescent="0.45">
      <c r="D322" s="161" t="s">
        <v>208</v>
      </c>
      <c r="E322" s="161" t="s">
        <v>37</v>
      </c>
      <c r="F322" s="161" t="s">
        <v>247</v>
      </c>
      <c r="G322" s="161" t="s">
        <v>816</v>
      </c>
    </row>
    <row r="323" spans="2:7" ht="15.75" x14ac:dyDescent="0.45">
      <c r="D323" s="198">
        <f>D324*4</f>
        <v>12</v>
      </c>
      <c r="E323" s="50" t="s">
        <v>65</v>
      </c>
      <c r="F323" s="50"/>
      <c r="G323" s="198">
        <f>G324*4</f>
        <v>28</v>
      </c>
    </row>
    <row r="324" spans="2:7" ht="15.75" x14ac:dyDescent="0.45">
      <c r="D324" s="74">
        <v>3</v>
      </c>
      <c r="E324" s="50" t="s">
        <v>67</v>
      </c>
      <c r="F324" s="50"/>
      <c r="G324" s="74">
        <v>7</v>
      </c>
    </row>
    <row r="325" spans="2:7" ht="15.75" x14ac:dyDescent="0.45">
      <c r="D325" s="198">
        <f>D326*8</f>
        <v>48</v>
      </c>
      <c r="E325" s="50" t="s">
        <v>653</v>
      </c>
      <c r="F325" s="50"/>
      <c r="G325" s="198">
        <f>G326*8</f>
        <v>104</v>
      </c>
    </row>
    <row r="326" spans="2:7" ht="15.75" x14ac:dyDescent="0.45">
      <c r="D326" s="74">
        <v>6</v>
      </c>
      <c r="E326" s="50" t="s">
        <v>425</v>
      </c>
      <c r="F326" s="50"/>
      <c r="G326" s="74">
        <v>13</v>
      </c>
    </row>
    <row r="327" spans="2:7" ht="15.75" x14ac:dyDescent="0.45">
      <c r="D327" s="74">
        <v>3</v>
      </c>
      <c r="E327" s="50" t="s">
        <v>432</v>
      </c>
      <c r="F327" s="50"/>
      <c r="G327" s="74">
        <v>7</v>
      </c>
    </row>
    <row r="328" spans="2:7" ht="15.75" x14ac:dyDescent="0.45">
      <c r="D328" s="74">
        <v>2</v>
      </c>
      <c r="E328" s="50" t="s">
        <v>433</v>
      </c>
      <c r="F328" s="50"/>
      <c r="G328" s="74">
        <v>5</v>
      </c>
    </row>
    <row r="329" spans="2:7" ht="15.75" x14ac:dyDescent="0.45">
      <c r="D329" s="74">
        <v>2</v>
      </c>
      <c r="E329" s="50" t="s">
        <v>435</v>
      </c>
      <c r="F329" s="50"/>
      <c r="G329" s="74">
        <v>5</v>
      </c>
    </row>
    <row r="333" spans="2:7" ht="19.899999999999999" thickBot="1" x14ac:dyDescent="0.65">
      <c r="B333" s="6" t="s">
        <v>391</v>
      </c>
      <c r="C333" s="6"/>
    </row>
    <row r="334" spans="2:7" ht="14.65" thickTop="1" x14ac:dyDescent="0.45">
      <c r="D334" s="107" t="s">
        <v>872</v>
      </c>
    </row>
    <row r="337" spans="4:7" x14ac:dyDescent="0.45">
      <c r="D337" s="161" t="s">
        <v>208</v>
      </c>
      <c r="E337" s="161" t="s">
        <v>37</v>
      </c>
      <c r="F337" s="161" t="s">
        <v>247</v>
      </c>
      <c r="G337" s="161" t="s">
        <v>816</v>
      </c>
    </row>
    <row r="338" spans="4:7" ht="15.75" x14ac:dyDescent="0.45">
      <c r="D338" s="74">
        <v>5</v>
      </c>
      <c r="E338" s="50" t="s">
        <v>138</v>
      </c>
      <c r="F338" s="50"/>
      <c r="G338" s="74">
        <v>2</v>
      </c>
    </row>
    <row r="339" spans="4:7" ht="15.75" x14ac:dyDescent="0.45">
      <c r="D339" s="74"/>
      <c r="E339" s="50" t="s">
        <v>50</v>
      </c>
      <c r="F339" s="50"/>
      <c r="G339" s="74"/>
    </row>
    <row r="340" spans="4:7" ht="15.75" x14ac:dyDescent="0.45">
      <c r="D340" s="74"/>
      <c r="E340" s="50" t="s">
        <v>858</v>
      </c>
      <c r="F340" s="50"/>
      <c r="G340" s="74"/>
    </row>
    <row r="341" spans="4:7" ht="15.75" x14ac:dyDescent="0.45">
      <c r="D341" s="74">
        <v>8</v>
      </c>
      <c r="E341" s="50" t="s">
        <v>441</v>
      </c>
      <c r="F341" s="50"/>
      <c r="G341" s="74">
        <v>2</v>
      </c>
    </row>
    <row r="342" spans="4:7" ht="15.75" x14ac:dyDescent="0.45">
      <c r="D342" s="74">
        <v>8</v>
      </c>
      <c r="E342" s="50" t="s">
        <v>442</v>
      </c>
      <c r="F342" s="50"/>
      <c r="G342" s="74">
        <v>2</v>
      </c>
    </row>
    <row r="343" spans="4:7" ht="15.75" x14ac:dyDescent="0.45">
      <c r="D343" s="74">
        <v>2</v>
      </c>
      <c r="E343" s="50" t="s">
        <v>50</v>
      </c>
      <c r="F343" s="50"/>
      <c r="G343" s="74">
        <v>1</v>
      </c>
    </row>
    <row r="344" spans="4:7" ht="15.75" x14ac:dyDescent="0.45">
      <c r="D344" s="74">
        <v>4</v>
      </c>
      <c r="E344" s="50" t="s">
        <v>90</v>
      </c>
      <c r="F344" s="50"/>
      <c r="G344" s="74">
        <v>1</v>
      </c>
    </row>
    <row r="345" spans="4:7" ht="15.75" x14ac:dyDescent="0.45">
      <c r="D345" s="74">
        <v>8</v>
      </c>
      <c r="E345" s="50" t="s">
        <v>92</v>
      </c>
      <c r="F345" s="50"/>
      <c r="G345" s="74">
        <v>2</v>
      </c>
    </row>
    <row r="346" spans="4:7" ht="15.75" x14ac:dyDescent="0.45">
      <c r="D346" s="74">
        <v>4</v>
      </c>
      <c r="E346" s="50" t="s">
        <v>153</v>
      </c>
      <c r="F346" s="50"/>
      <c r="G346" s="74">
        <v>1</v>
      </c>
    </row>
    <row r="347" spans="4:7" ht="15.75" x14ac:dyDescent="0.45">
      <c r="D347" s="74">
        <v>8</v>
      </c>
      <c r="E347" s="50" t="s">
        <v>155</v>
      </c>
      <c r="F347" s="50"/>
      <c r="G347" s="74">
        <v>2</v>
      </c>
    </row>
    <row r="348" spans="4:7" ht="15.75" x14ac:dyDescent="0.45">
      <c r="D348" s="74">
        <v>4</v>
      </c>
      <c r="E348" s="50" t="s">
        <v>444</v>
      </c>
      <c r="F348" s="50"/>
      <c r="G348" s="74">
        <v>1</v>
      </c>
    </row>
    <row r="349" spans="4:7" ht="15.75" x14ac:dyDescent="0.45">
      <c r="D349" s="74">
        <v>4</v>
      </c>
      <c r="E349" s="50" t="s">
        <v>445</v>
      </c>
      <c r="F349" s="50"/>
      <c r="G349" s="74">
        <v>1</v>
      </c>
    </row>
    <row r="353" spans="2:7" ht="19.899999999999999" thickBot="1" x14ac:dyDescent="0.65">
      <c r="B353" s="6" t="s">
        <v>652</v>
      </c>
      <c r="C353" s="6"/>
    </row>
    <row r="354" spans="2:7" ht="14.65" thickTop="1" x14ac:dyDescent="0.45">
      <c r="D354" s="107"/>
    </row>
    <row r="357" spans="2:7" x14ac:dyDescent="0.45">
      <c r="D357" s="161" t="s">
        <v>208</v>
      </c>
      <c r="E357" s="161" t="s">
        <v>37</v>
      </c>
      <c r="F357" s="161" t="s">
        <v>247</v>
      </c>
      <c r="G357" s="161" t="s">
        <v>816</v>
      </c>
    </row>
    <row r="358" spans="2:7" ht="15.75" x14ac:dyDescent="0.45">
      <c r="D358" s="198">
        <f>D359*20</f>
        <v>40</v>
      </c>
      <c r="E358" s="50" t="s">
        <v>511</v>
      </c>
      <c r="F358" s="50"/>
      <c r="G358" s="198">
        <f>G359*20</f>
        <v>40</v>
      </c>
    </row>
    <row r="359" spans="2:7" ht="15.75" x14ac:dyDescent="0.45">
      <c r="D359" s="74">
        <v>2</v>
      </c>
      <c r="E359" s="50" t="s">
        <v>876</v>
      </c>
      <c r="F359" s="50"/>
      <c r="G359" s="74">
        <v>2</v>
      </c>
    </row>
    <row r="360" spans="2:7" ht="15.75" x14ac:dyDescent="0.45">
      <c r="D360" s="74">
        <v>1</v>
      </c>
      <c r="E360" s="50" t="s">
        <v>463</v>
      </c>
      <c r="F360" s="50"/>
      <c r="G360" s="74">
        <v>1</v>
      </c>
    </row>
    <row r="364" spans="2:7" ht="19.899999999999999" thickBot="1" x14ac:dyDescent="0.65">
      <c r="B364" s="6" t="s">
        <v>372</v>
      </c>
      <c r="C364" s="6"/>
    </row>
    <row r="365" spans="2:7" ht="14.65" thickTop="1" x14ac:dyDescent="0.45">
      <c r="D365" s="107"/>
    </row>
    <row r="368" spans="2:7" x14ac:dyDescent="0.45">
      <c r="D368" s="161" t="s">
        <v>208</v>
      </c>
      <c r="E368" s="161" t="s">
        <v>37</v>
      </c>
      <c r="F368" s="161" t="s">
        <v>247</v>
      </c>
      <c r="G368" s="161" t="s">
        <v>816</v>
      </c>
    </row>
    <row r="369" spans="2:7" ht="15.75" x14ac:dyDescent="0.45">
      <c r="D369" s="198">
        <f>D370*8</f>
        <v>32</v>
      </c>
      <c r="E369" s="50" t="s">
        <v>422</v>
      </c>
      <c r="F369" s="50"/>
      <c r="G369" s="198">
        <f>G370*8</f>
        <v>136</v>
      </c>
    </row>
    <row r="370" spans="2:7" ht="15.75" x14ac:dyDescent="0.45">
      <c r="D370" s="74">
        <v>4</v>
      </c>
      <c r="E370" s="50" t="s">
        <v>416</v>
      </c>
      <c r="F370" s="50"/>
      <c r="G370" s="74">
        <v>17</v>
      </c>
    </row>
    <row r="371" spans="2:7" ht="15.75" x14ac:dyDescent="0.45">
      <c r="D371" s="74">
        <v>2</v>
      </c>
      <c r="E371" s="50" t="s">
        <v>647</v>
      </c>
      <c r="F371" s="50"/>
      <c r="G371" s="74">
        <v>9</v>
      </c>
    </row>
    <row r="372" spans="2:7" ht="15.75" x14ac:dyDescent="0.45">
      <c r="D372" s="198">
        <f>D373*8</f>
        <v>32</v>
      </c>
      <c r="E372" s="50" t="s">
        <v>648</v>
      </c>
      <c r="F372" s="50"/>
      <c r="G372" s="198">
        <f>G373*8</f>
        <v>72</v>
      </c>
    </row>
    <row r="373" spans="2:7" ht="15.75" x14ac:dyDescent="0.45">
      <c r="D373" s="74">
        <v>4</v>
      </c>
      <c r="E373" s="50" t="s">
        <v>417</v>
      </c>
      <c r="F373" s="50"/>
      <c r="G373" s="74">
        <v>9</v>
      </c>
    </row>
    <row r="374" spans="2:7" ht="15.75" x14ac:dyDescent="0.45">
      <c r="D374" s="74">
        <v>1</v>
      </c>
      <c r="E374" s="50" t="s">
        <v>845</v>
      </c>
      <c r="F374" s="50"/>
      <c r="G374" s="74">
        <v>17</v>
      </c>
    </row>
    <row r="378" spans="2:7" ht="19.899999999999999" thickBot="1" x14ac:dyDescent="0.65">
      <c r="B378" s="6" t="s">
        <v>374</v>
      </c>
      <c r="C378" s="6"/>
    </row>
    <row r="379" spans="2:7" ht="14.65" thickTop="1" x14ac:dyDescent="0.45">
      <c r="D379" s="107"/>
    </row>
    <row r="382" spans="2:7" x14ac:dyDescent="0.45">
      <c r="D382" s="161" t="s">
        <v>208</v>
      </c>
      <c r="E382" s="161" t="s">
        <v>37</v>
      </c>
      <c r="F382" s="161" t="s">
        <v>247</v>
      </c>
      <c r="G382" s="161" t="s">
        <v>816</v>
      </c>
    </row>
    <row r="383" spans="2:7" ht="15.75" x14ac:dyDescent="0.45">
      <c r="D383" s="74">
        <v>1</v>
      </c>
      <c r="E383" s="50" t="s">
        <v>138</v>
      </c>
      <c r="F383" s="50"/>
      <c r="G383" s="74">
        <v>2</v>
      </c>
    </row>
    <row r="384" spans="2:7" ht="15.75" x14ac:dyDescent="0.45">
      <c r="D384" s="74"/>
      <c r="E384" s="50" t="s">
        <v>50</v>
      </c>
      <c r="F384" s="50"/>
      <c r="G384" s="74"/>
    </row>
    <row r="385" spans="2:7" ht="15.75" x14ac:dyDescent="0.45">
      <c r="D385" s="74"/>
      <c r="E385" s="50" t="s">
        <v>858</v>
      </c>
      <c r="F385" s="50"/>
      <c r="G385" s="74"/>
    </row>
    <row r="386" spans="2:7" ht="15.75" x14ac:dyDescent="0.45">
      <c r="D386" s="74">
        <v>4</v>
      </c>
      <c r="E386" s="50" t="s">
        <v>168</v>
      </c>
      <c r="F386" s="50"/>
      <c r="G386" s="74">
        <v>5</v>
      </c>
    </row>
    <row r="387" spans="2:7" ht="15.75" x14ac:dyDescent="0.45">
      <c r="D387" s="74">
        <v>8</v>
      </c>
      <c r="E387" s="50" t="s">
        <v>170</v>
      </c>
      <c r="F387" s="50"/>
      <c r="G387" s="74">
        <v>9</v>
      </c>
    </row>
    <row r="388" spans="2:7" ht="15.75" x14ac:dyDescent="0.45">
      <c r="D388" s="74">
        <v>3</v>
      </c>
      <c r="E388" s="50" t="s">
        <v>420</v>
      </c>
      <c r="F388" s="50"/>
      <c r="G388" s="74">
        <v>4</v>
      </c>
    </row>
    <row r="389" spans="2:7" ht="15.75" x14ac:dyDescent="0.45">
      <c r="D389" s="74">
        <v>8</v>
      </c>
      <c r="E389" s="50" t="s">
        <v>424</v>
      </c>
      <c r="F389" s="50"/>
      <c r="G389" s="74">
        <v>9</v>
      </c>
    </row>
    <row r="393" spans="2:7" ht="19.899999999999999" thickBot="1" x14ac:dyDescent="0.65">
      <c r="B393" s="6" t="s">
        <v>173</v>
      </c>
      <c r="C393" s="6"/>
    </row>
    <row r="394" spans="2:7" ht="14.65" thickTop="1" x14ac:dyDescent="0.45">
      <c r="D394" s="107"/>
    </row>
    <row r="397" spans="2:7" x14ac:dyDescent="0.45">
      <c r="D397" s="161" t="s">
        <v>208</v>
      </c>
      <c r="E397" s="161" t="s">
        <v>37</v>
      </c>
      <c r="F397" s="161" t="s">
        <v>247</v>
      </c>
      <c r="G397" s="161" t="s">
        <v>816</v>
      </c>
    </row>
    <row r="398" spans="2:7" ht="15.75" x14ac:dyDescent="0.45">
      <c r="D398" s="74">
        <v>1</v>
      </c>
      <c r="E398" s="50" t="s">
        <v>138</v>
      </c>
      <c r="F398" s="50"/>
      <c r="G398" s="74">
        <v>1</v>
      </c>
    </row>
    <row r="399" spans="2:7" ht="15.75" x14ac:dyDescent="0.45">
      <c r="D399" s="74"/>
      <c r="E399" s="50" t="s">
        <v>50</v>
      </c>
      <c r="F399" s="50"/>
      <c r="G399" s="74"/>
    </row>
    <row r="400" spans="2:7" ht="15.75" x14ac:dyDescent="0.45">
      <c r="D400" s="74"/>
      <c r="E400" s="50" t="s">
        <v>858</v>
      </c>
      <c r="F400" s="50"/>
      <c r="G400" s="74"/>
    </row>
    <row r="401" spans="2:7" ht="15.75" x14ac:dyDescent="0.45">
      <c r="D401" s="74">
        <v>2</v>
      </c>
      <c r="E401" s="50" t="s">
        <v>168</v>
      </c>
      <c r="F401" s="50"/>
      <c r="G401" s="74">
        <v>2</v>
      </c>
    </row>
    <row r="402" spans="2:7" ht="15.75" x14ac:dyDescent="0.45">
      <c r="D402" s="74">
        <v>4</v>
      </c>
      <c r="E402" s="50" t="s">
        <v>170</v>
      </c>
      <c r="F402" s="50"/>
      <c r="G402" s="74">
        <v>4</v>
      </c>
    </row>
    <row r="403" spans="2:7" ht="15.75" x14ac:dyDescent="0.45">
      <c r="D403" s="74">
        <v>4</v>
      </c>
      <c r="E403" s="50" t="s">
        <v>172</v>
      </c>
      <c r="F403" s="50"/>
      <c r="G403" s="74">
        <v>4</v>
      </c>
    </row>
    <row r="407" spans="2:7" ht="19.899999999999999" thickBot="1" x14ac:dyDescent="0.65">
      <c r="B407" s="6" t="s">
        <v>72</v>
      </c>
      <c r="C407" s="6"/>
    </row>
    <row r="408" spans="2:7" ht="14.65" thickTop="1" x14ac:dyDescent="0.45">
      <c r="D408" s="107"/>
    </row>
    <row r="411" spans="2:7" x14ac:dyDescent="0.45">
      <c r="D411" s="161" t="s">
        <v>208</v>
      </c>
      <c r="E411" s="161" t="s">
        <v>37</v>
      </c>
      <c r="F411" s="161" t="s">
        <v>247</v>
      </c>
      <c r="G411" s="161" t="s">
        <v>816</v>
      </c>
    </row>
    <row r="412" spans="2:7" ht="15.75" x14ac:dyDescent="0.45">
      <c r="D412" s="198">
        <f>D413*8</f>
        <v>16</v>
      </c>
      <c r="E412" s="50" t="s">
        <v>68</v>
      </c>
      <c r="F412" s="50"/>
      <c r="G412" s="198">
        <f>G413*8</f>
        <v>72</v>
      </c>
    </row>
    <row r="413" spans="2:7" ht="15.75" x14ac:dyDescent="0.45">
      <c r="D413" s="74">
        <v>2</v>
      </c>
      <c r="E413" s="50" t="s">
        <v>70</v>
      </c>
      <c r="F413" s="50"/>
      <c r="G413" s="74">
        <v>9</v>
      </c>
    </row>
    <row r="414" spans="2:7" ht="15.75" x14ac:dyDescent="0.45">
      <c r="D414" s="74">
        <v>1</v>
      </c>
      <c r="E414" s="50" t="s">
        <v>71</v>
      </c>
      <c r="F414" s="50"/>
      <c r="G414" s="74">
        <v>5</v>
      </c>
    </row>
    <row r="418" spans="2:7" ht="19.899999999999999" thickBot="1" x14ac:dyDescent="0.65">
      <c r="B418" s="6" t="s">
        <v>167</v>
      </c>
      <c r="C418" s="6"/>
    </row>
    <row r="419" spans="2:7" ht="14.65" thickTop="1" x14ac:dyDescent="0.45">
      <c r="D419" s="107"/>
    </row>
    <row r="422" spans="2:7" x14ac:dyDescent="0.45">
      <c r="D422" s="161" t="s">
        <v>208</v>
      </c>
      <c r="E422" s="161" t="s">
        <v>37</v>
      </c>
      <c r="F422" s="161" t="s">
        <v>247</v>
      </c>
      <c r="G422" s="161" t="s">
        <v>816</v>
      </c>
    </row>
    <row r="423" spans="2:7" ht="17.25" thickBot="1" x14ac:dyDescent="0.55000000000000004">
      <c r="C423" s="126" t="s">
        <v>899</v>
      </c>
      <c r="D423" s="74">
        <v>1</v>
      </c>
      <c r="E423" s="50" t="s">
        <v>138</v>
      </c>
      <c r="F423" s="50"/>
      <c r="G423" s="74">
        <v>1</v>
      </c>
    </row>
    <row r="424" spans="2:7" ht="16.149999999999999" thickTop="1" x14ac:dyDescent="0.45">
      <c r="D424" s="74"/>
      <c r="E424" s="50" t="s">
        <v>50</v>
      </c>
      <c r="F424" s="50"/>
      <c r="G424" s="74"/>
    </row>
    <row r="425" spans="2:7" ht="15.75" x14ac:dyDescent="0.45">
      <c r="D425" s="74"/>
      <c r="E425" s="50" t="s">
        <v>858</v>
      </c>
      <c r="F425" s="50"/>
      <c r="G425" s="74"/>
    </row>
    <row r="426" spans="2:7" ht="15.75" x14ac:dyDescent="0.45">
      <c r="D426" s="74">
        <v>1</v>
      </c>
      <c r="E426" s="50" t="s">
        <v>163</v>
      </c>
      <c r="F426" s="50"/>
      <c r="G426" s="74">
        <v>4</v>
      </c>
    </row>
    <row r="427" spans="2:7" ht="15.75" x14ac:dyDescent="0.45">
      <c r="D427" s="74">
        <v>1</v>
      </c>
      <c r="E427" s="50" t="s">
        <v>517</v>
      </c>
      <c r="F427" s="50"/>
      <c r="G427" s="74">
        <v>4</v>
      </c>
    </row>
    <row r="428" spans="2:7" ht="15.75" x14ac:dyDescent="0.45">
      <c r="D428" s="74"/>
      <c r="E428" s="50" t="s">
        <v>364</v>
      </c>
      <c r="F428" s="50"/>
      <c r="G428" s="74"/>
    </row>
    <row r="429" spans="2:7" ht="15.75" x14ac:dyDescent="0.45">
      <c r="D429" s="198">
        <f>D430*8</f>
        <v>48</v>
      </c>
      <c r="E429" s="50" t="s">
        <v>515</v>
      </c>
      <c r="F429" s="50"/>
      <c r="G429" s="198">
        <f>G430*8</f>
        <v>176</v>
      </c>
    </row>
    <row r="430" spans="2:7" ht="15.75" x14ac:dyDescent="0.45">
      <c r="D430" s="74">
        <v>6</v>
      </c>
      <c r="E430" s="50" t="s">
        <v>415</v>
      </c>
      <c r="F430" s="50"/>
      <c r="G430" s="74">
        <v>22</v>
      </c>
    </row>
    <row r="431" spans="2:7" ht="15.75" x14ac:dyDescent="0.45">
      <c r="D431" s="74">
        <v>2</v>
      </c>
      <c r="E431" s="50" t="s">
        <v>166</v>
      </c>
      <c r="F431" s="50"/>
      <c r="G431" s="74">
        <v>11</v>
      </c>
    </row>
    <row r="433" spans="2:7" x14ac:dyDescent="0.45">
      <c r="D433" s="161" t="s">
        <v>208</v>
      </c>
      <c r="E433" s="161" t="s">
        <v>37</v>
      </c>
      <c r="F433" s="161" t="s">
        <v>247</v>
      </c>
      <c r="G433" s="161" t="s">
        <v>816</v>
      </c>
    </row>
    <row r="434" spans="2:7" ht="17.25" thickBot="1" x14ac:dyDescent="0.55000000000000004">
      <c r="C434" s="126" t="s">
        <v>900</v>
      </c>
      <c r="D434" s="74">
        <v>2</v>
      </c>
      <c r="E434" s="50" t="s">
        <v>364</v>
      </c>
      <c r="F434" s="50"/>
      <c r="G434" s="74">
        <v>5</v>
      </c>
    </row>
    <row r="435" spans="2:7" ht="16.149999999999999" thickTop="1" x14ac:dyDescent="0.45">
      <c r="D435" s="198">
        <f>D436*8</f>
        <v>80</v>
      </c>
      <c r="E435" s="50" t="s">
        <v>515</v>
      </c>
      <c r="F435" s="50"/>
      <c r="G435" s="198">
        <f>G436*8</f>
        <v>176</v>
      </c>
    </row>
    <row r="436" spans="2:7" ht="15.75" x14ac:dyDescent="0.45">
      <c r="D436" s="74">
        <v>10</v>
      </c>
      <c r="E436" s="50" t="s">
        <v>415</v>
      </c>
      <c r="F436" s="50"/>
      <c r="G436" s="74">
        <v>22</v>
      </c>
    </row>
    <row r="437" spans="2:7" ht="15.75" x14ac:dyDescent="0.45">
      <c r="D437" s="74">
        <v>5</v>
      </c>
      <c r="E437" s="50" t="s">
        <v>166</v>
      </c>
      <c r="F437" s="50"/>
      <c r="G437" s="74">
        <v>11</v>
      </c>
    </row>
    <row r="441" spans="2:7" ht="19.899999999999999" thickBot="1" x14ac:dyDescent="0.65">
      <c r="B441" s="6" t="s">
        <v>901</v>
      </c>
      <c r="C441" s="6"/>
    </row>
    <row r="442" spans="2:7" ht="14.65" thickTop="1" x14ac:dyDescent="0.45">
      <c r="D442" s="107" t="s">
        <v>902</v>
      </c>
    </row>
    <row r="445" spans="2:7" x14ac:dyDescent="0.45">
      <c r="D445" s="161" t="s">
        <v>208</v>
      </c>
      <c r="E445" s="161" t="s">
        <v>37</v>
      </c>
      <c r="F445" s="161" t="s">
        <v>247</v>
      </c>
      <c r="G445" s="161" t="s">
        <v>816</v>
      </c>
    </row>
    <row r="446" spans="2:7" ht="15.75" x14ac:dyDescent="0.45">
      <c r="D446" s="198">
        <f>D447*8</f>
        <v>32</v>
      </c>
      <c r="E446" s="50" t="s">
        <v>68</v>
      </c>
      <c r="F446" s="50"/>
      <c r="G446" s="198">
        <f>G447*8</f>
        <v>96</v>
      </c>
    </row>
    <row r="447" spans="2:7" ht="15.75" x14ac:dyDescent="0.45">
      <c r="D447" s="74">
        <v>4</v>
      </c>
      <c r="E447" s="50" t="s">
        <v>70</v>
      </c>
      <c r="F447" s="50"/>
      <c r="G447" s="74">
        <v>12</v>
      </c>
    </row>
    <row r="448" spans="2:7" ht="15.75" x14ac:dyDescent="0.45">
      <c r="D448" s="74">
        <v>3</v>
      </c>
      <c r="E448" s="50" t="s">
        <v>148</v>
      </c>
      <c r="F448" s="50"/>
      <c r="G448" s="74">
        <v>9</v>
      </c>
    </row>
    <row r="449" spans="2:7" ht="15.75" x14ac:dyDescent="0.45">
      <c r="D449" s="74">
        <v>1</v>
      </c>
      <c r="E449" s="50" t="s">
        <v>151</v>
      </c>
      <c r="F449" s="50"/>
      <c r="G449" s="74">
        <v>3</v>
      </c>
    </row>
    <row r="453" spans="2:7" ht="19.899999999999999" thickBot="1" x14ac:dyDescent="0.65">
      <c r="B453" s="6" t="s">
        <v>87</v>
      </c>
      <c r="C453" s="6"/>
    </row>
    <row r="454" spans="2:7" ht="14.65" thickTop="1" x14ac:dyDescent="0.45">
      <c r="D454" s="107" t="s">
        <v>929</v>
      </c>
    </row>
    <row r="457" spans="2:7" x14ac:dyDescent="0.45">
      <c r="D457" s="161" t="s">
        <v>208</v>
      </c>
      <c r="E457" s="161" t="s">
        <v>37</v>
      </c>
      <c r="F457" s="161" t="s">
        <v>247</v>
      </c>
      <c r="G457" s="161" t="s">
        <v>816</v>
      </c>
    </row>
    <row r="458" spans="2:7" ht="15.75" x14ac:dyDescent="0.45">
      <c r="D458" s="74">
        <v>5</v>
      </c>
      <c r="E458" s="50" t="s">
        <v>138</v>
      </c>
      <c r="F458" s="50"/>
      <c r="G458" s="74">
        <v>1</v>
      </c>
    </row>
    <row r="459" spans="2:7" ht="15.75" x14ac:dyDescent="0.45">
      <c r="D459" s="74"/>
      <c r="E459" s="50" t="s">
        <v>50</v>
      </c>
      <c r="F459" s="50"/>
      <c r="G459" s="74"/>
    </row>
    <row r="460" spans="2:7" ht="15.75" x14ac:dyDescent="0.45">
      <c r="D460" s="74"/>
      <c r="E460" s="50" t="s">
        <v>858</v>
      </c>
      <c r="F460" s="50"/>
      <c r="G460" s="74"/>
    </row>
    <row r="461" spans="2:7" ht="15.75" x14ac:dyDescent="0.45">
      <c r="D461" s="74">
        <v>4</v>
      </c>
      <c r="E461" s="50" t="s">
        <v>153</v>
      </c>
      <c r="F461" s="18"/>
      <c r="G461" s="74">
        <v>1</v>
      </c>
    </row>
    <row r="462" spans="2:7" ht="15.75" x14ac:dyDescent="0.45">
      <c r="D462" s="74">
        <v>8</v>
      </c>
      <c r="E462" s="50" t="s">
        <v>155</v>
      </c>
      <c r="F462" s="18"/>
      <c r="G462" s="74">
        <v>2</v>
      </c>
    </row>
    <row r="463" spans="2:7" ht="15.75" x14ac:dyDescent="0.45">
      <c r="D463" s="74">
        <v>4</v>
      </c>
      <c r="E463" s="50" t="s">
        <v>428</v>
      </c>
      <c r="F463" s="18"/>
      <c r="G463" s="74">
        <v>1</v>
      </c>
    </row>
    <row r="464" spans="2:7" ht="15.75" x14ac:dyDescent="0.45">
      <c r="D464" s="74">
        <v>4</v>
      </c>
      <c r="E464" s="50" t="s">
        <v>429</v>
      </c>
      <c r="F464" s="18"/>
      <c r="G464" s="74">
        <v>1</v>
      </c>
    </row>
    <row r="468" spans="2:7" ht="19.899999999999999" thickBot="1" x14ac:dyDescent="0.65">
      <c r="B468" s="6" t="s">
        <v>368</v>
      </c>
      <c r="C468" s="6"/>
    </row>
    <row r="469" spans="2:7" ht="14.65" thickTop="1" x14ac:dyDescent="0.45">
      <c r="D469" s="107" t="s">
        <v>903</v>
      </c>
    </row>
    <row r="472" spans="2:7" x14ac:dyDescent="0.45">
      <c r="D472" s="161" t="s">
        <v>208</v>
      </c>
      <c r="E472" s="161" t="s">
        <v>37</v>
      </c>
      <c r="F472" s="161" t="s">
        <v>247</v>
      </c>
      <c r="G472" s="161" t="s">
        <v>816</v>
      </c>
    </row>
    <row r="473" spans="2:7" ht="15.75" x14ac:dyDescent="0.45">
      <c r="D473" s="74">
        <v>1</v>
      </c>
      <c r="E473" s="50" t="s">
        <v>138</v>
      </c>
      <c r="F473" s="50"/>
      <c r="G473" s="74">
        <v>1</v>
      </c>
    </row>
    <row r="474" spans="2:7" ht="15.75" x14ac:dyDescent="0.45">
      <c r="D474" s="74"/>
      <c r="E474" s="50" t="s">
        <v>50</v>
      </c>
      <c r="F474" s="50"/>
      <c r="G474" s="74"/>
    </row>
    <row r="475" spans="2:7" ht="15.75" x14ac:dyDescent="0.45">
      <c r="D475" s="74"/>
      <c r="E475" s="50" t="s">
        <v>858</v>
      </c>
      <c r="F475" s="50"/>
      <c r="G475" s="74"/>
    </row>
    <row r="476" spans="2:7" ht="15.75" x14ac:dyDescent="0.45">
      <c r="D476" s="74">
        <v>2</v>
      </c>
      <c r="E476" s="50" t="s">
        <v>153</v>
      </c>
      <c r="F476" s="18"/>
      <c r="G476" s="74">
        <v>2</v>
      </c>
    </row>
    <row r="477" spans="2:7" ht="15.75" x14ac:dyDescent="0.45">
      <c r="D477" s="74">
        <v>4</v>
      </c>
      <c r="E477" s="50" t="s">
        <v>155</v>
      </c>
      <c r="F477" s="18"/>
      <c r="G477" s="74">
        <v>4</v>
      </c>
    </row>
    <row r="478" spans="2:7" ht="15.75" x14ac:dyDescent="0.45">
      <c r="D478" s="74">
        <v>4</v>
      </c>
      <c r="E478" s="50" t="s">
        <v>157</v>
      </c>
      <c r="F478" s="18"/>
      <c r="G478" s="74">
        <v>4</v>
      </c>
    </row>
    <row r="482" spans="2:7" ht="19.899999999999999" thickBot="1" x14ac:dyDescent="0.65">
      <c r="B482" s="6" t="s">
        <v>464</v>
      </c>
      <c r="C482" s="6"/>
    </row>
    <row r="483" spans="2:7" ht="14.65" thickTop="1" x14ac:dyDescent="0.45"/>
    <row r="486" spans="2:7" x14ac:dyDescent="0.45">
      <c r="D486" s="161" t="s">
        <v>208</v>
      </c>
      <c r="E486" s="161" t="s">
        <v>37</v>
      </c>
      <c r="F486" s="161" t="s">
        <v>247</v>
      </c>
      <c r="G486" s="161" t="s">
        <v>816</v>
      </c>
    </row>
    <row r="487" spans="2:7" ht="15.75" x14ac:dyDescent="0.45">
      <c r="D487" s="74">
        <v>4</v>
      </c>
      <c r="E487" s="50" t="s">
        <v>50</v>
      </c>
      <c r="F487" s="50"/>
      <c r="G487" s="74">
        <v>4</v>
      </c>
    </row>
    <row r="488" spans="2:7" ht="15.75" x14ac:dyDescent="0.45">
      <c r="D488" s="74">
        <v>2</v>
      </c>
      <c r="E488" s="50" t="s">
        <v>439</v>
      </c>
      <c r="F488" s="50"/>
      <c r="G488" s="74">
        <v>2</v>
      </c>
    </row>
    <row r="489" spans="2:7" ht="15.75" x14ac:dyDescent="0.45">
      <c r="D489" s="198">
        <f>D490*8</f>
        <v>8</v>
      </c>
      <c r="E489" s="50" t="s">
        <v>648</v>
      </c>
      <c r="F489" s="18"/>
      <c r="G489" s="198">
        <f>G490*8</f>
        <v>8</v>
      </c>
    </row>
    <row r="490" spans="2:7" ht="15.75" x14ac:dyDescent="0.45">
      <c r="D490" s="74">
        <v>1</v>
      </c>
      <c r="E490" s="50" t="s">
        <v>417</v>
      </c>
      <c r="F490" s="18"/>
      <c r="G490" s="74">
        <v>1</v>
      </c>
    </row>
    <row r="491" spans="2:7" ht="15.75" x14ac:dyDescent="0.45">
      <c r="D491" s="74">
        <v>2</v>
      </c>
      <c r="E491" s="50" t="s">
        <v>440</v>
      </c>
      <c r="F491" s="18"/>
      <c r="G491" s="74">
        <v>2</v>
      </c>
    </row>
    <row r="492" spans="2:7" ht="15.75" x14ac:dyDescent="0.45">
      <c r="D492" s="74">
        <v>1</v>
      </c>
      <c r="E492" s="50" t="s">
        <v>464</v>
      </c>
      <c r="F492" s="18"/>
      <c r="G492" s="74">
        <v>1</v>
      </c>
    </row>
    <row r="496" spans="2:7" ht="19.899999999999999" thickBot="1" x14ac:dyDescent="0.65">
      <c r="B496" s="6" t="s">
        <v>382</v>
      </c>
      <c r="C496" s="6"/>
    </row>
    <row r="497" spans="4:7" ht="14.65" thickTop="1" x14ac:dyDescent="0.45"/>
    <row r="500" spans="4:7" x14ac:dyDescent="0.45">
      <c r="D500" s="161" t="s">
        <v>208</v>
      </c>
      <c r="E500" s="161" t="s">
        <v>37</v>
      </c>
      <c r="F500" s="161" t="s">
        <v>247</v>
      </c>
      <c r="G500" s="161" t="s">
        <v>816</v>
      </c>
    </row>
    <row r="501" spans="4:7" ht="15.75" x14ac:dyDescent="0.45">
      <c r="D501" s="74">
        <v>1</v>
      </c>
      <c r="E501" s="50" t="s">
        <v>138</v>
      </c>
      <c r="F501" s="50"/>
      <c r="G501" s="74">
        <v>2</v>
      </c>
    </row>
    <row r="502" spans="4:7" ht="15.75" x14ac:dyDescent="0.45">
      <c r="D502" s="74"/>
      <c r="E502" s="50" t="s">
        <v>50</v>
      </c>
      <c r="F502" s="50"/>
      <c r="G502" s="74"/>
    </row>
    <row r="503" spans="4:7" ht="15.75" x14ac:dyDescent="0.45">
      <c r="D503" s="74"/>
      <c r="E503" s="50" t="s">
        <v>858</v>
      </c>
      <c r="F503" s="50"/>
      <c r="G503" s="74"/>
    </row>
    <row r="504" spans="4:7" ht="15.75" x14ac:dyDescent="0.45">
      <c r="D504" s="74">
        <v>2</v>
      </c>
      <c r="E504" s="50" t="s">
        <v>50</v>
      </c>
      <c r="F504" s="18"/>
      <c r="G504" s="74">
        <v>4</v>
      </c>
    </row>
    <row r="505" spans="4:7" ht="15.75" x14ac:dyDescent="0.45">
      <c r="D505" s="74">
        <v>2</v>
      </c>
      <c r="E505" s="50" t="s">
        <v>64</v>
      </c>
      <c r="F505" s="18"/>
      <c r="G505" s="74">
        <v>4</v>
      </c>
    </row>
    <row r="506" spans="4:7" ht="15.75" x14ac:dyDescent="0.45">
      <c r="D506" s="74">
        <v>2</v>
      </c>
      <c r="E506" s="50" t="s">
        <v>153</v>
      </c>
      <c r="F506" s="18"/>
      <c r="G506" s="74">
        <v>5</v>
      </c>
    </row>
    <row r="507" spans="4:7" ht="15.75" x14ac:dyDescent="0.45">
      <c r="D507" s="74">
        <v>4</v>
      </c>
      <c r="E507" s="50" t="s">
        <v>155</v>
      </c>
      <c r="F507" s="18"/>
      <c r="G507" s="74">
        <v>9</v>
      </c>
    </row>
    <row r="508" spans="4:7" ht="15.75" x14ac:dyDescent="0.45">
      <c r="D508" s="74">
        <v>2</v>
      </c>
      <c r="E508" s="50" t="s">
        <v>438</v>
      </c>
      <c r="F508" s="18"/>
      <c r="G508" s="74">
        <v>5</v>
      </c>
    </row>
    <row r="509" spans="4:7" ht="15.75" x14ac:dyDescent="0.45">
      <c r="D509" s="198">
        <f>D510*12</f>
        <v>48</v>
      </c>
      <c r="E509" s="50" t="s">
        <v>656</v>
      </c>
      <c r="F509" s="18"/>
      <c r="G509" s="198">
        <f>G510*12</f>
        <v>108</v>
      </c>
    </row>
    <row r="510" spans="4:7" ht="15.75" x14ac:dyDescent="0.45">
      <c r="D510" s="74">
        <v>4</v>
      </c>
      <c r="E510" s="50" t="s">
        <v>436</v>
      </c>
      <c r="F510" s="18"/>
      <c r="G510" s="74">
        <v>9</v>
      </c>
    </row>
    <row r="511" spans="4:7" ht="15.75" x14ac:dyDescent="0.45">
      <c r="D511" s="74">
        <v>3</v>
      </c>
      <c r="E511" s="50" t="s">
        <v>657</v>
      </c>
      <c r="F511" s="18"/>
      <c r="G511" s="74">
        <v>7</v>
      </c>
    </row>
  </sheetData>
  <dataValidations count="1">
    <dataValidation type="list" allowBlank="1" showInputMessage="1" showErrorMessage="1" sqref="F18:F56 F127:F137 F94:F100 F111:F114 F105:F109 F139:F149" xr:uid="{C6EBCC5D-9CC8-4598-9BB9-D98A78E4E09C}">
      <formula1>"Yes,No"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1412B410-3FAA-480D-8790-91C7EC3CEB84}">
          <x14:formula1>
            <xm:f>Production!$B$11:$B$152</xm:f>
          </x14:formula1>
          <xm:sqref>E172:E175 E158:E163 E65:E89 E92:E100 E124:E149 E103:E114 E197:E205 E15:E56 E309:E314 E225:E231 E214:E216 E234:E240 E243:E249 E267:E268 E271 E274:E276 E252:E258 E293:E298 E301:E306 E285:E290 E323:E329 E358:E360 E369:E374 E383:E389 E398:E403 E412:E414 E423:E431 E434:E437 E446:E449 E473:E478 E338:E349 E184:E188 E487:E492 E501:E511 E458:E464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19401-143E-4312-A901-5C05DC65E935}">
  <sheetPr>
    <tabColor rgb="FFFFFF00"/>
  </sheetPr>
  <dimension ref="A1:DN147"/>
  <sheetViews>
    <sheetView showGridLines="0" zoomScale="85" zoomScaleNormal="85" workbookViewId="0"/>
  </sheetViews>
  <sheetFormatPr defaultRowHeight="14.25" x14ac:dyDescent="0.45"/>
  <cols>
    <col min="2" max="2" width="14.796875" customWidth="1"/>
    <col min="3" max="3" width="19" bestFit="1" customWidth="1"/>
    <col min="4" max="4" width="18.6640625" customWidth="1"/>
    <col min="5" max="5" width="18.73046875" bestFit="1" customWidth="1"/>
    <col min="6" max="8" width="18.6640625" customWidth="1"/>
    <col min="9" max="9" width="30.46484375" customWidth="1"/>
    <col min="10" max="10" width="12.73046875" bestFit="1" customWidth="1"/>
    <col min="11" max="11" width="22.46484375" customWidth="1"/>
    <col min="12" max="13" width="3.9296875" customWidth="1"/>
    <col min="14" max="14" width="41.33203125" customWidth="1"/>
    <col min="15" max="15" width="15.59765625" customWidth="1"/>
    <col min="16" max="16" width="13.9296875" bestFit="1" customWidth="1"/>
    <col min="17" max="17" width="15.1328125" bestFit="1" customWidth="1"/>
    <col min="18" max="18" width="14.06640625" bestFit="1" customWidth="1"/>
    <col min="19" max="19" width="15.59765625" customWidth="1"/>
    <col min="22" max="25" width="9.86328125" customWidth="1"/>
    <col min="27" max="27" width="9.33203125" bestFit="1" customWidth="1"/>
    <col min="30" max="30" width="9.53125" bestFit="1" customWidth="1"/>
    <col min="31" max="31" width="10.86328125" bestFit="1" customWidth="1"/>
    <col min="32" max="32" width="18.06640625" bestFit="1" customWidth="1"/>
    <col min="33" max="33" width="20.6640625" customWidth="1"/>
    <col min="34" max="34" width="11.86328125" customWidth="1"/>
    <col min="35" max="35" width="20.6640625" customWidth="1"/>
    <col min="36" max="36" width="14.6640625" customWidth="1"/>
    <col min="37" max="37" width="13.3984375" bestFit="1" customWidth="1"/>
    <col min="38" max="38" width="13.3984375" customWidth="1"/>
    <col min="39" max="39" width="15.9296875" bestFit="1" customWidth="1"/>
    <col min="40" max="40" width="10.59765625" customWidth="1"/>
    <col min="41" max="41" width="13.19921875" customWidth="1"/>
    <col min="42" max="58" width="10.1328125" customWidth="1"/>
    <col min="59" max="64" width="9.06640625" customWidth="1"/>
    <col min="65" max="89" width="9.06640625" hidden="1" customWidth="1"/>
    <col min="90" max="90" width="14.265625" customWidth="1"/>
    <col min="101" max="112" width="0" hidden="1" customWidth="1"/>
    <col min="114" max="114" width="14.46484375" bestFit="1" customWidth="1"/>
  </cols>
  <sheetData>
    <row r="1" spans="1:114" ht="23.25" x14ac:dyDescent="0.7">
      <c r="A1" s="1" t="s">
        <v>0</v>
      </c>
      <c r="B1" s="1"/>
      <c r="C1" s="1"/>
      <c r="D1" s="1"/>
      <c r="E1" s="1"/>
      <c r="F1" s="1"/>
      <c r="G1" s="1"/>
      <c r="H1" s="1"/>
      <c r="I1" s="1"/>
      <c r="J1" s="1"/>
      <c r="K1" s="1"/>
      <c r="L1" s="1"/>
      <c r="M1" s="1"/>
      <c r="O1" s="1"/>
      <c r="P1" s="1"/>
      <c r="Q1" s="1"/>
      <c r="R1" s="1"/>
      <c r="S1" s="1"/>
      <c r="T1" s="1"/>
      <c r="U1" s="1"/>
      <c r="V1" s="1"/>
      <c r="W1" s="1"/>
      <c r="X1" s="1"/>
      <c r="Y1" s="1"/>
      <c r="Z1" s="1"/>
      <c r="AA1" s="1"/>
      <c r="AB1" s="1"/>
      <c r="AC1" s="1"/>
    </row>
    <row r="2" spans="1:114" x14ac:dyDescent="0.45">
      <c r="A2" s="107" t="s">
        <v>935</v>
      </c>
      <c r="B2" s="32"/>
      <c r="C2" s="7"/>
      <c r="D2" s="7"/>
      <c r="E2" s="7"/>
      <c r="F2" s="7"/>
      <c r="G2" s="7"/>
      <c r="H2" s="7"/>
      <c r="I2" s="7"/>
      <c r="J2" s="7"/>
      <c r="K2" s="7"/>
      <c r="L2" s="7"/>
      <c r="M2" s="7"/>
      <c r="N2" s="7"/>
      <c r="O2" s="7"/>
      <c r="P2" s="7"/>
      <c r="Q2" s="7"/>
      <c r="R2" s="7"/>
      <c r="S2" s="7"/>
      <c r="T2" s="7"/>
      <c r="U2" s="7"/>
      <c r="V2" s="7"/>
      <c r="W2" s="7"/>
      <c r="X2" s="7"/>
      <c r="Y2" s="7"/>
      <c r="Z2" s="7"/>
      <c r="AA2" s="7"/>
      <c r="AB2" s="7"/>
      <c r="AC2" s="7"/>
      <c r="AF2" s="32"/>
    </row>
    <row r="4" spans="1:114" ht="19.899999999999999" thickBot="1" x14ac:dyDescent="0.65">
      <c r="A4" s="6" t="s">
        <v>237</v>
      </c>
      <c r="C4" s="13"/>
      <c r="AD4" s="6" t="s">
        <v>279</v>
      </c>
      <c r="AG4" s="13" t="s">
        <v>357</v>
      </c>
    </row>
    <row r="5" spans="1:114" ht="14.65" thickTop="1" x14ac:dyDescent="0.45">
      <c r="AD5" s="166" t="s">
        <v>580</v>
      </c>
    </row>
    <row r="6" spans="1:114" ht="19.899999999999999" thickBot="1" x14ac:dyDescent="0.65">
      <c r="B6" s="6" t="s">
        <v>581</v>
      </c>
      <c r="E6" s="13" t="s">
        <v>356</v>
      </c>
      <c r="O6" s="6" t="s">
        <v>278</v>
      </c>
      <c r="Q6" s="13" t="s">
        <v>355</v>
      </c>
      <c r="AD6" s="166" t="s">
        <v>353</v>
      </c>
      <c r="DJ6" s="6" t="s">
        <v>280</v>
      </c>
    </row>
    <row r="7" spans="1:114" ht="14.65" thickTop="1" x14ac:dyDescent="0.45">
      <c r="E7" s="13" t="s">
        <v>582</v>
      </c>
      <c r="DJ7" s="75" t="s">
        <v>292</v>
      </c>
    </row>
    <row r="8" spans="1:114" x14ac:dyDescent="0.45">
      <c r="AD8" s="166" t="s">
        <v>339</v>
      </c>
    </row>
    <row r="9" spans="1:114" ht="53.25" x14ac:dyDescent="0.45">
      <c r="B9" s="17" t="s">
        <v>314</v>
      </c>
      <c r="C9" s="17" t="s">
        <v>315</v>
      </c>
      <c r="D9" s="17" t="s">
        <v>316</v>
      </c>
      <c r="E9" s="17" t="s">
        <v>319</v>
      </c>
      <c r="F9" s="17" t="s">
        <v>320</v>
      </c>
      <c r="G9" s="17" t="s">
        <v>579</v>
      </c>
      <c r="H9" s="17" t="s">
        <v>584</v>
      </c>
      <c r="AD9" s="166" t="s">
        <v>346</v>
      </c>
    </row>
    <row r="10" spans="1:114" x14ac:dyDescent="0.45">
      <c r="B10" t="s">
        <v>208</v>
      </c>
      <c r="C10" t="s">
        <v>37</v>
      </c>
      <c r="D10" s="54" t="s">
        <v>311</v>
      </c>
      <c r="E10" s="54" t="s">
        <v>317</v>
      </c>
      <c r="F10" s="54" t="s">
        <v>318</v>
      </c>
      <c r="G10" s="54" t="s">
        <v>577</v>
      </c>
      <c r="H10" s="54" t="s">
        <v>240</v>
      </c>
      <c r="AD10" s="166" t="s">
        <v>296</v>
      </c>
    </row>
    <row r="11" spans="1:114" ht="21" x14ac:dyDescent="0.45">
      <c r="B11" s="84">
        <v>10</v>
      </c>
      <c r="C11" s="50" t="s">
        <v>55</v>
      </c>
      <c r="D11" s="57">
        <f>IF(ConsumptionModelInputs_1000P[[#This Row],[Quantity]]=0,"",IFERROR(SUMIFS(ConsumptionModel_1000P[Satisfaction],ConsumptionModel_1000P[Building],ConsumptionModelInputs_1000P[[#This Row],[Building]])/COUNTIFS(ConsumptionModel_1000P[Building],ConsumptionModelInputs_1000P[[#This Row],[Building]]),0))</f>
        <v>1</v>
      </c>
      <c r="E11" s="57">
        <f>IF(ConsumptionModelInputs_1000P[[#This Row],[Quantity]]=0,"",IFERROR(SUMIFS(ConsumptionModel_1000P[Satisfaction],ConsumptionModel_1000P[Building],ConsumptionModelInputs_1000P[[#This Row],[Building]],ConsumptionModel_1000P[Type],"Need")/COUNTIFS(ConsumptionModel_1000P[Building],ConsumptionModelInputs_1000P[[#This Row],[Building]],ConsumptionModel_1000P[Type],"Need"),0))</f>
        <v>1</v>
      </c>
      <c r="F11" s="57">
        <f>IF(ConsumptionModelInputs_1000P[[#This Row],[Quantity]]=0,"",IFERROR(SUMIFS(ConsumptionModel_1000P[Satisfaction],ConsumptionModel_1000P[Building],ConsumptionModelInputs_1000P[[#This Row],[Building]],ConsumptionModel_1000P[Type],"Luxury")/COUNTIFS(ConsumptionModel_1000P[Building],ConsumptionModelInputs_1000P[[#This Row],[Building]],ConsumptionModel_1000P[Type],"Luxury"),0))</f>
        <v>1</v>
      </c>
      <c r="G11" s="112" t="str">
        <f>INDEX(Production[Resource Produced],MATCH(ConsumptionModelInputs_1000P[[#This Row],[Building]],Production[Building],0))</f>
        <v>Militia</v>
      </c>
      <c r="H11" s="113">
        <f>SUMIFS(ConsumptionModel_1000P[Production Rate (per building per h) by Demanded Resource],ConsumptionModel_1000P[Building],ConsumptionModelInputs_1000P[[#This Row],[Building]])*IF(ConsumptionModelInputs_1000P[[#This Row],[Needs Satisfaction]]="",0,ConsumptionModelInputs_1000P[[#This Row],[Needs Satisfaction]])</f>
        <v>30</v>
      </c>
      <c r="AD11" s="166" t="s">
        <v>295</v>
      </c>
    </row>
    <row r="12" spans="1:114" ht="21" x14ac:dyDescent="0.45">
      <c r="B12" s="85"/>
      <c r="C12" s="50" t="s">
        <v>403</v>
      </c>
      <c r="D12" s="63" t="str">
        <f>IF(ConsumptionModelInputs_1000P[[#This Row],[Quantity]]=0,"",IFERROR(SUMIFS(ConsumptionModel_1000P[Satisfaction],ConsumptionModel_1000P[Building],ConsumptionModelInputs_1000P[[#This Row],[Building]])/COUNTIFS(ConsumptionModel_1000P[Building],ConsumptionModelInputs_1000P[[#This Row],[Building]]),0))</f>
        <v/>
      </c>
      <c r="E12" s="63" t="str">
        <f>IF(ConsumptionModelInputs_1000P[[#This Row],[Quantity]]=0,"",IFERROR(SUMIFS(ConsumptionModel_1000P[Satisfaction],ConsumptionModel_1000P[Building],ConsumptionModelInputs_1000P[[#This Row],[Building]],ConsumptionModel_1000P[Type],"Need")/COUNTIFS(ConsumptionModel_1000P[Building],ConsumptionModelInputs_1000P[[#This Row],[Building]],ConsumptionModel_1000P[Type],"Need"),0))</f>
        <v/>
      </c>
      <c r="F12" s="63" t="str">
        <f>IF(ConsumptionModelInputs_1000P[[#This Row],[Quantity]]=0,"",IFERROR(SUMIFS(ConsumptionModel_1000P[Satisfaction],ConsumptionModel_1000P[Building],ConsumptionModelInputs_1000P[[#This Row],[Building]],ConsumptionModel_1000P[Type],"Luxury")/COUNTIFS(ConsumptionModel_1000P[Building],ConsumptionModelInputs_1000P[[#This Row],[Building]],ConsumptionModel_1000P[Type],"Luxury"),0))</f>
        <v/>
      </c>
      <c r="G12" s="112" t="str">
        <f>INDEX(Production[Resource Produced],MATCH(ConsumptionModelInputs_1000P[[#This Row],[Building]],Production[Building],0))</f>
        <v>Militia</v>
      </c>
      <c r="H12" s="113">
        <f>SUMIFS(ConsumptionModel_1000P[Production Rate (per building per h) by Demanded Resource],ConsumptionModel_1000P[Building],ConsumptionModelInputs_1000P[[#This Row],[Building]])*IF(ConsumptionModelInputs_1000P[[#This Row],[Needs Satisfaction]]="",0,ConsumptionModelInputs_1000P[[#This Row],[Needs Satisfaction]])</f>
        <v>0</v>
      </c>
    </row>
    <row r="13" spans="1:114" ht="21" x14ac:dyDescent="0.45">
      <c r="B13" s="85">
        <v>10</v>
      </c>
      <c r="C13" s="50" t="s">
        <v>56</v>
      </c>
      <c r="D13" s="63">
        <f>IF(ConsumptionModelInputs_1000P[[#This Row],[Quantity]]=0,"",IFERROR(SUMIFS(ConsumptionModel_1000P[Satisfaction],ConsumptionModel_1000P[Building],ConsumptionModelInputs_1000P[[#This Row],[Building]])/COUNTIFS(ConsumptionModel_1000P[Building],ConsumptionModelInputs_1000P[[#This Row],[Building]]),0))</f>
        <v>1</v>
      </c>
      <c r="E13" s="63">
        <f>IF(ConsumptionModelInputs_1000P[[#This Row],[Quantity]]=0,"",IFERROR(SUMIFS(ConsumptionModel_1000P[Satisfaction],ConsumptionModel_1000P[Building],ConsumptionModelInputs_1000P[[#This Row],[Building]],ConsumptionModel_1000P[Type],"Need")/COUNTIFS(ConsumptionModel_1000P[Building],ConsumptionModelInputs_1000P[[#This Row],[Building]],ConsumptionModel_1000P[Type],"Need"),0))</f>
        <v>1</v>
      </c>
      <c r="F13" s="63">
        <f>IF(ConsumptionModelInputs_1000P[[#This Row],[Quantity]]=0,"",IFERROR(SUMIFS(ConsumptionModel_1000P[Satisfaction],ConsumptionModel_1000P[Building],ConsumptionModelInputs_1000P[[#This Row],[Building]],ConsumptionModel_1000P[Type],"Luxury")/COUNTIFS(ConsumptionModel_1000P[Building],ConsumptionModelInputs_1000P[[#This Row],[Building]],ConsumptionModel_1000P[Type],"Luxury"),0))</f>
        <v>1</v>
      </c>
      <c r="G13" s="112" t="str">
        <f>INDEX(Production[Resource Produced],MATCH(ConsumptionModelInputs_1000P[[#This Row],[Building]],Production[Building],0))</f>
        <v>Gold</v>
      </c>
      <c r="H13" s="113">
        <f>SUMIFS(ConsumptionModel_1000P[Production Rate (per building per h) by Demanded Resource],ConsumptionModel_1000P[Building],ConsumptionModelInputs_1000P[[#This Row],[Building]])*IF(ConsumptionModelInputs_1000P[[#This Row],[Needs Satisfaction]]="",0,ConsumptionModelInputs_1000P[[#This Row],[Needs Satisfaction]])</f>
        <v>16.875</v>
      </c>
    </row>
    <row r="14" spans="1:114" ht="21" x14ac:dyDescent="0.45">
      <c r="B14" s="85">
        <v>10</v>
      </c>
      <c r="C14" s="50" t="s">
        <v>57</v>
      </c>
      <c r="D14" s="63">
        <f>IF(ConsumptionModelInputs_1000P[[#This Row],[Quantity]]=0,"",IFERROR(SUMIFS(ConsumptionModel_1000P[Satisfaction],ConsumptionModel_1000P[Building],ConsumptionModelInputs_1000P[[#This Row],[Building]])/COUNTIFS(ConsumptionModel_1000P[Building],ConsumptionModelInputs_1000P[[#This Row],[Building]]),0))</f>
        <v>1</v>
      </c>
      <c r="E14" s="63">
        <f>IF(ConsumptionModelInputs_1000P[[#This Row],[Quantity]]=0,"",IFERROR(SUMIFS(ConsumptionModel_1000P[Satisfaction],ConsumptionModel_1000P[Building],ConsumptionModelInputs_1000P[[#This Row],[Building]],ConsumptionModel_1000P[Type],"Need")/COUNTIFS(ConsumptionModel_1000P[Building],ConsumptionModelInputs_1000P[[#This Row],[Building]],ConsumptionModel_1000P[Type],"Need"),0))</f>
        <v>1</v>
      </c>
      <c r="F14" s="63">
        <f>IF(ConsumptionModelInputs_1000P[[#This Row],[Quantity]]=0,"",IFERROR(SUMIFS(ConsumptionModel_1000P[Satisfaction],ConsumptionModel_1000P[Building],ConsumptionModelInputs_1000P[[#This Row],[Building]],ConsumptionModel_1000P[Type],"Luxury")/COUNTIFS(ConsumptionModel_1000P[Building],ConsumptionModelInputs_1000P[[#This Row],[Building]],ConsumptionModel_1000P[Type],"Luxury"),0))</f>
        <v>1</v>
      </c>
      <c r="G14" s="112" t="str">
        <f>INDEX(Production[Resource Produced],MATCH(ConsumptionModelInputs_1000P[[#This Row],[Building]],Production[Building],0))</f>
        <v>Gold</v>
      </c>
      <c r="H14" s="113">
        <f>SUMIFS(ConsumptionModel_1000P[Production Rate (per building per h) by Demanded Resource],ConsumptionModel_1000P[Building],ConsumptionModelInputs_1000P[[#This Row],[Building]])*IF(ConsumptionModelInputs_1000P[[#This Row],[Needs Satisfaction]]="",0,ConsumptionModelInputs_1000P[[#This Row],[Needs Satisfaction]])</f>
        <v>100</v>
      </c>
      <c r="X14" s="107" t="s">
        <v>934</v>
      </c>
    </row>
    <row r="15" spans="1:114" ht="21" x14ac:dyDescent="0.45">
      <c r="B15" s="85">
        <f>ROUNDUP(300/25,0)</f>
        <v>12</v>
      </c>
      <c r="C15" s="50" t="s">
        <v>58</v>
      </c>
      <c r="D15" s="63">
        <f>IF(ConsumptionModelInputs_1000P[[#This Row],[Quantity]]=0,"",IFERROR(SUMIFS(ConsumptionModel_1000P[Satisfaction],ConsumptionModel_1000P[Building],ConsumptionModelInputs_1000P[[#This Row],[Building]])/COUNTIFS(ConsumptionModel_1000P[Building],ConsumptionModelInputs_1000P[[#This Row],[Building]]),0))</f>
        <v>1</v>
      </c>
      <c r="E15" s="63">
        <f>IF(ConsumptionModelInputs_1000P[[#This Row],[Quantity]]=0,"",IFERROR(SUMIFS(ConsumptionModel_1000P[Satisfaction],ConsumptionModel_1000P[Building],ConsumptionModelInputs_1000P[[#This Row],[Building]],ConsumptionModel_1000P[Type],"Need")/COUNTIFS(ConsumptionModel_1000P[Building],ConsumptionModelInputs_1000P[[#This Row],[Building]],ConsumptionModel_1000P[Type],"Need"),0))</f>
        <v>1</v>
      </c>
      <c r="F15" s="63">
        <f>IF(ConsumptionModelInputs_1000P[[#This Row],[Quantity]]=0,"",IFERROR(SUMIFS(ConsumptionModel_1000P[Satisfaction],ConsumptionModel_1000P[Building],ConsumptionModelInputs_1000P[[#This Row],[Building]],ConsumptionModel_1000P[Type],"Luxury")/COUNTIFS(ConsumptionModel_1000P[Building],ConsumptionModelInputs_1000P[[#This Row],[Building]],ConsumptionModel_1000P[Type],"Luxury"),0))</f>
        <v>1</v>
      </c>
      <c r="G15" s="112" t="str">
        <f>INDEX(Production[Resource Produced],MATCH(ConsumptionModelInputs_1000P[[#This Row],[Building]],Production[Building],0))</f>
        <v>Gold</v>
      </c>
      <c r="H15" s="113">
        <f>SUMIFS(ConsumptionModel_1000P[Production Rate (per building per h) by Demanded Resource],ConsumptionModel_1000P[Building],ConsumptionModelInputs_1000P[[#This Row],[Building]])*IF(ConsumptionModelInputs_1000P[[#This Row],[Needs Satisfaction]]="",0,ConsumptionModelInputs_1000P[[#This Row],[Needs Satisfaction]])</f>
        <v>600.00000000000011</v>
      </c>
      <c r="I15" s="13"/>
      <c r="J15" s="13"/>
      <c r="K15" s="13"/>
      <c r="L15" s="13"/>
      <c r="M15" s="13"/>
      <c r="N15" s="13"/>
      <c r="O15" s="13"/>
      <c r="P15" s="13"/>
      <c r="Q15" s="13"/>
      <c r="R15" s="13"/>
      <c r="S15" s="13"/>
      <c r="T15" s="13"/>
      <c r="U15" s="13"/>
      <c r="V15" s="13"/>
      <c r="X15" s="142" t="s">
        <v>77</v>
      </c>
      <c r="Y15" s="142" t="s">
        <v>78</v>
      </c>
      <c r="Z15" s="142" t="s">
        <v>80</v>
      </c>
      <c r="AA15" s="13"/>
      <c r="AB15" s="13"/>
      <c r="AC15" s="13"/>
      <c r="AF15" s="66" t="s">
        <v>340</v>
      </c>
      <c r="AG15" s="68">
        <v>60</v>
      </c>
      <c r="AH15" s="13" t="s">
        <v>343</v>
      </c>
    </row>
    <row r="16" spans="1:114" ht="21" x14ac:dyDescent="0.45">
      <c r="B16" s="85">
        <f>ROUNDUP(1000/30,0)</f>
        <v>34</v>
      </c>
      <c r="C16" s="50" t="s">
        <v>59</v>
      </c>
      <c r="D16" s="63">
        <f>IF(ConsumptionModelInputs_1000P[[#This Row],[Quantity]]=0,"",IFERROR(SUMIFS(ConsumptionModel_1000P[Satisfaction],ConsumptionModel_1000P[Building],ConsumptionModelInputs_1000P[[#This Row],[Building]])/COUNTIFS(ConsumptionModel_1000P[Building],ConsumptionModelInputs_1000P[[#This Row],[Building]]),0))</f>
        <v>1</v>
      </c>
      <c r="E16" s="63">
        <f>IF(ConsumptionModelInputs_1000P[[#This Row],[Quantity]]=0,"",IFERROR(SUMIFS(ConsumptionModel_1000P[Satisfaction],ConsumptionModel_1000P[Building],ConsumptionModelInputs_1000P[[#This Row],[Building]],ConsumptionModel_1000P[Type],"Need")/COUNTIFS(ConsumptionModel_1000P[Building],ConsumptionModelInputs_1000P[[#This Row],[Building]],ConsumptionModel_1000P[Type],"Need"),0))</f>
        <v>1</v>
      </c>
      <c r="F16" s="63">
        <f>IF(ConsumptionModelInputs_1000P[[#This Row],[Quantity]]=0,"",IFERROR(SUMIFS(ConsumptionModel_1000P[Satisfaction],ConsumptionModel_1000P[Building],ConsumptionModelInputs_1000P[[#This Row],[Building]],ConsumptionModel_1000P[Type],"Luxury")/COUNTIFS(ConsumptionModel_1000P[Building],ConsumptionModelInputs_1000P[[#This Row],[Building]],ConsumptionModel_1000P[Type],"Luxury"),0))</f>
        <v>1</v>
      </c>
      <c r="G16" s="112" t="str">
        <f>INDEX(Production[Resource Produced],MATCH(ConsumptionModelInputs_1000P[[#This Row],[Building]],Production[Building],0))</f>
        <v>Favor</v>
      </c>
      <c r="H16" s="113">
        <f>SUMIFS(ConsumptionModel_1000P[Production Rate (per building per h) by Demanded Resource],ConsumptionModel_1000P[Building],ConsumptionModelInputs_1000P[[#This Row],[Building]])*IF(ConsumptionModelInputs_1000P[[#This Row],[Needs Satisfaction]]="",0,ConsumptionModelInputs_1000P[[#This Row],[Needs Satisfaction]])</f>
        <v>23.867999999999995</v>
      </c>
      <c r="AF16" s="66" t="s">
        <v>341</v>
      </c>
      <c r="AG16" s="67">
        <f>ROUNDUP(((AG15-2)^2)-(4*(AG15-3)*50%)-(4*(AG15-4)*25%),0)</f>
        <v>3194</v>
      </c>
      <c r="AH16" s="13" t="s">
        <v>344</v>
      </c>
    </row>
    <row r="17" spans="2:118" x14ac:dyDescent="0.45">
      <c r="AF17" s="66" t="s">
        <v>342</v>
      </c>
      <c r="AG17" s="67">
        <f>ROUNDUP((((AG15-1)*4*25%)*2)+((AG15-1)*4),0)</f>
        <v>354</v>
      </c>
      <c r="AH17" s="13" t="s">
        <v>345</v>
      </c>
    </row>
    <row r="18" spans="2:118" ht="19.899999999999999" thickBot="1" x14ac:dyDescent="0.65">
      <c r="B18" s="6" t="s">
        <v>300</v>
      </c>
      <c r="D18" s="166" t="s">
        <v>354</v>
      </c>
      <c r="AH18" s="13" t="s">
        <v>348</v>
      </c>
    </row>
    <row r="19" spans="2:118" ht="106.15" thickTop="1" x14ac:dyDescent="0.45">
      <c r="F19" s="17" t="s">
        <v>327</v>
      </c>
      <c r="G19" s="17" t="s">
        <v>328</v>
      </c>
      <c r="H19" s="17" t="s">
        <v>350</v>
      </c>
      <c r="I19" s="17" t="s">
        <v>329</v>
      </c>
      <c r="J19" s="17" t="s">
        <v>326</v>
      </c>
      <c r="K19" s="17" t="s">
        <v>578</v>
      </c>
      <c r="O19" s="17" t="s">
        <v>276</v>
      </c>
      <c r="P19" s="17" t="s">
        <v>277</v>
      </c>
      <c r="Q19" s="17" t="s">
        <v>351</v>
      </c>
      <c r="R19" s="17" t="s">
        <v>352</v>
      </c>
      <c r="S19" s="17" t="s">
        <v>549</v>
      </c>
      <c r="T19" s="17" t="s">
        <v>550</v>
      </c>
      <c r="U19" s="17" t="s">
        <v>823</v>
      </c>
      <c r="V19" s="17" t="s">
        <v>824</v>
      </c>
      <c r="W19" s="17" t="s">
        <v>827</v>
      </c>
      <c r="X19" s="17" t="s">
        <v>930</v>
      </c>
      <c r="Y19" s="17" t="s">
        <v>679</v>
      </c>
      <c r="Z19" s="17" t="s">
        <v>680</v>
      </c>
      <c r="AA19" s="17" t="s">
        <v>828</v>
      </c>
      <c r="AD19" s="17" t="s">
        <v>285</v>
      </c>
      <c r="AE19" s="17" t="s">
        <v>286</v>
      </c>
      <c r="AF19" s="17" t="s">
        <v>287</v>
      </c>
      <c r="AG19" s="17" t="s">
        <v>293</v>
      </c>
      <c r="AH19" s="17" t="s">
        <v>817</v>
      </c>
      <c r="AI19" s="17"/>
      <c r="AJ19" s="17" t="s">
        <v>288</v>
      </c>
      <c r="AK19" s="17" t="s">
        <v>289</v>
      </c>
      <c r="AL19" s="17" t="s">
        <v>466</v>
      </c>
      <c r="AM19" s="17" t="s">
        <v>586</v>
      </c>
      <c r="AN19" s="17" t="s">
        <v>290</v>
      </c>
      <c r="AO19" s="17" t="s">
        <v>294</v>
      </c>
      <c r="AP19" s="17" t="s">
        <v>273</v>
      </c>
      <c r="AQ19" s="17" t="s">
        <v>263</v>
      </c>
      <c r="AR19" s="17" t="s">
        <v>291</v>
      </c>
      <c r="AS19" s="17"/>
      <c r="CL19" s="17"/>
      <c r="CM19" s="46"/>
    </row>
    <row r="20" spans="2:118" ht="85.9" thickBot="1" x14ac:dyDescent="0.5">
      <c r="B20" t="s">
        <v>257</v>
      </c>
      <c r="C20" t="s">
        <v>208</v>
      </c>
      <c r="D20" t="s">
        <v>37</v>
      </c>
      <c r="E20" t="s">
        <v>239</v>
      </c>
      <c r="F20" t="s">
        <v>321</v>
      </c>
      <c r="G20" s="8" t="s">
        <v>308</v>
      </c>
      <c r="H20" s="8" t="s">
        <v>312</v>
      </c>
      <c r="I20" s="8" t="s">
        <v>313</v>
      </c>
      <c r="J20" s="111" t="s">
        <v>311</v>
      </c>
      <c r="K20" s="111" t="s">
        <v>583</v>
      </c>
      <c r="N20" s="195" t="s">
        <v>830</v>
      </c>
      <c r="O20" s="43" t="s">
        <v>239</v>
      </c>
      <c r="P20" s="44" t="s">
        <v>240</v>
      </c>
      <c r="Q20" s="44" t="s">
        <v>241</v>
      </c>
      <c r="R20" s="45" t="s">
        <v>359</v>
      </c>
      <c r="S20" s="45" t="s">
        <v>358</v>
      </c>
      <c r="T20" s="45" t="s">
        <v>548</v>
      </c>
      <c r="U20" s="44" t="s">
        <v>678</v>
      </c>
      <c r="V20" s="44" t="s">
        <v>825</v>
      </c>
      <c r="W20" s="44" t="s">
        <v>826</v>
      </c>
      <c r="X20" s="44" t="s">
        <v>931</v>
      </c>
      <c r="Y20" s="44" t="s">
        <v>932</v>
      </c>
      <c r="Z20" s="44" t="s">
        <v>933</v>
      </c>
      <c r="AA20" s="44" t="s">
        <v>829</v>
      </c>
      <c r="AD20" s="8" t="s">
        <v>257</v>
      </c>
      <c r="AE20" s="8" t="s">
        <v>208</v>
      </c>
      <c r="AF20" s="8" t="s">
        <v>37</v>
      </c>
      <c r="AG20" s="8" t="s">
        <v>247</v>
      </c>
      <c r="AH20" s="8" t="s">
        <v>816</v>
      </c>
      <c r="AI20" s="8" t="s">
        <v>818</v>
      </c>
      <c r="AJ20" s="8" t="s">
        <v>38</v>
      </c>
      <c r="AK20" s="8" t="s">
        <v>349</v>
      </c>
      <c r="AL20" s="8" t="s">
        <v>395</v>
      </c>
      <c r="AM20" s="8" t="s">
        <v>585</v>
      </c>
      <c r="AN20" s="8" t="s">
        <v>39</v>
      </c>
      <c r="AO20" s="8" t="s">
        <v>248</v>
      </c>
      <c r="AP20" s="8" t="s">
        <v>265</v>
      </c>
      <c r="AQ20" s="8" t="s">
        <v>264</v>
      </c>
      <c r="AR20" s="8" t="s">
        <v>243</v>
      </c>
      <c r="AS20" s="8" t="s">
        <v>40</v>
      </c>
      <c r="AT20" s="8" t="s">
        <v>249</v>
      </c>
      <c r="AU20" s="8" t="s">
        <v>267</v>
      </c>
      <c r="AV20" s="8" t="s">
        <v>268</v>
      </c>
      <c r="AW20" s="8" t="s">
        <v>244</v>
      </c>
      <c r="AX20" s="8" t="s">
        <v>43</v>
      </c>
      <c r="AY20" s="8" t="s">
        <v>250</v>
      </c>
      <c r="AZ20" s="8" t="s">
        <v>269</v>
      </c>
      <c r="BA20" s="8" t="s">
        <v>270</v>
      </c>
      <c r="BB20" s="8" t="s">
        <v>245</v>
      </c>
      <c r="BC20" s="8" t="s">
        <v>45</v>
      </c>
      <c r="BD20" s="8" t="s">
        <v>251</v>
      </c>
      <c r="BE20" s="8" t="s">
        <v>271</v>
      </c>
      <c r="BF20" s="8" t="s">
        <v>272</v>
      </c>
      <c r="BG20" s="8" t="s">
        <v>246</v>
      </c>
      <c r="BH20" s="8" t="s">
        <v>479</v>
      </c>
      <c r="BI20" s="8" t="s">
        <v>521</v>
      </c>
      <c r="BJ20" s="8" t="s">
        <v>522</v>
      </c>
      <c r="BK20" s="8" t="s">
        <v>523</v>
      </c>
      <c r="BL20" s="8" t="s">
        <v>524</v>
      </c>
      <c r="BM20" s="8" t="s">
        <v>481</v>
      </c>
      <c r="BN20" s="8" t="s">
        <v>525</v>
      </c>
      <c r="BO20" s="8" t="s">
        <v>526</v>
      </c>
      <c r="BP20" s="8" t="s">
        <v>527</v>
      </c>
      <c r="BQ20" s="8" t="s">
        <v>528</v>
      </c>
      <c r="BR20" s="8" t="s">
        <v>483</v>
      </c>
      <c r="BS20" s="8" t="s">
        <v>529</v>
      </c>
      <c r="BT20" s="8" t="s">
        <v>530</v>
      </c>
      <c r="BU20" s="8" t="s">
        <v>531</v>
      </c>
      <c r="BV20" s="8" t="s">
        <v>532</v>
      </c>
      <c r="BW20" s="8" t="s">
        <v>485</v>
      </c>
      <c r="BX20" s="8" t="s">
        <v>533</v>
      </c>
      <c r="BY20" s="8" t="s">
        <v>534</v>
      </c>
      <c r="BZ20" s="8" t="s">
        <v>535</v>
      </c>
      <c r="CA20" s="8" t="s">
        <v>536</v>
      </c>
      <c r="CB20" s="8" t="s">
        <v>487</v>
      </c>
      <c r="CC20" s="8" t="s">
        <v>537</v>
      </c>
      <c r="CD20" s="8" t="s">
        <v>538</v>
      </c>
      <c r="CE20" s="8" t="s">
        <v>539</v>
      </c>
      <c r="CF20" s="8" t="s">
        <v>540</v>
      </c>
      <c r="CG20" s="8" t="s">
        <v>488</v>
      </c>
      <c r="CH20" s="8" t="s">
        <v>541</v>
      </c>
      <c r="CI20" s="8" t="s">
        <v>542</v>
      </c>
      <c r="CJ20" s="8" t="s">
        <v>543</v>
      </c>
      <c r="CK20" s="8" t="s">
        <v>544</v>
      </c>
      <c r="CL20" s="8" t="s">
        <v>266</v>
      </c>
      <c r="CM20" s="8" t="s">
        <v>252</v>
      </c>
      <c r="CN20" s="8" t="s">
        <v>258</v>
      </c>
      <c r="CO20" s="8" t="s">
        <v>253</v>
      </c>
      <c r="CP20" s="8" t="s">
        <v>259</v>
      </c>
      <c r="CQ20" s="8" t="s">
        <v>254</v>
      </c>
      <c r="CR20" s="8" t="s">
        <v>260</v>
      </c>
      <c r="CS20" s="8" t="s">
        <v>255</v>
      </c>
      <c r="CT20" s="8" t="s">
        <v>261</v>
      </c>
      <c r="CU20" s="8" t="s">
        <v>256</v>
      </c>
      <c r="CV20" s="8" t="s">
        <v>262</v>
      </c>
      <c r="CW20" s="8" t="s">
        <v>467</v>
      </c>
      <c r="CX20" s="8" t="s">
        <v>468</v>
      </c>
      <c r="CY20" s="8" t="s">
        <v>469</v>
      </c>
      <c r="CZ20" s="8" t="s">
        <v>470</v>
      </c>
      <c r="DA20" s="8" t="s">
        <v>471</v>
      </c>
      <c r="DB20" s="8" t="s">
        <v>472</v>
      </c>
      <c r="DC20" s="8" t="s">
        <v>473</v>
      </c>
      <c r="DD20" s="8" t="s">
        <v>474</v>
      </c>
      <c r="DE20" s="8" t="s">
        <v>475</v>
      </c>
      <c r="DF20" s="8" t="s">
        <v>476</v>
      </c>
      <c r="DG20" s="8" t="s">
        <v>519</v>
      </c>
      <c r="DH20" s="8" t="s">
        <v>520</v>
      </c>
      <c r="DJ20" s="8" t="s">
        <v>239</v>
      </c>
      <c r="DK20" s="8" t="s">
        <v>240</v>
      </c>
      <c r="DL20" s="8" t="s">
        <v>241</v>
      </c>
      <c r="DM20" s="8" t="s">
        <v>359</v>
      </c>
      <c r="DN20" s="8" t="s">
        <v>360</v>
      </c>
    </row>
    <row r="21" spans="2:118" ht="21" x14ac:dyDescent="0.65">
      <c r="B21" s="170">
        <f>ROW()</f>
        <v>21</v>
      </c>
      <c r="C21" s="171">
        <f>INDEX(ConsumptionModelInputs_1000P[Quantity],MATCH(ConsumptionModel_1000P[[#This Row],[Building]],ConsumptionModelInputs_1000P[Building],0))</f>
        <v>10</v>
      </c>
      <c r="D21" s="172" t="s">
        <v>55</v>
      </c>
      <c r="E21" s="172" t="s">
        <v>330</v>
      </c>
      <c r="F21" s="189" t="str">
        <f>IF(OR(ISBLANK(ConsumptionModel_1000P[[#This Row],[Building]]),ISBLANK(ConsumptionModel_1000P[[#This Row],[Resource]]))," - ",INDEX(Consumption[Type],MATCH(ConsumptionModel_1000P[[#This Row],[LookupValue]],Consumption[LookupValue],0)))</f>
        <v>Need</v>
      </c>
      <c r="G21" s="189" t="str">
        <f>IF(OR(ISBLANK(ConsumptionModel_1000P[[#This Row],[Building]]),ISBLANK(ConsumptionModel_1000P[[#This Row],[Resource]]))," - ",ConsumptionModel_1000P[[#This Row],[Building]]&amp;" - "&amp;ConsumptionModel_1000P[[#This Row],[Resource]])</f>
        <v>Pioneer's Hut - Water</v>
      </c>
      <c r="H21" s="175">
        <f>ConsumptionModel_1000P[[#This Row],[Quantity]]*INDEX(Consumption[Consumption/person/h],MATCH(ConsumptionModel_1000P[[#This Row],[LookupValue]],Consumption[LookupValue],0))*IFERROR(INDEX(ResidentBuildings[Residents],MATCH(ConsumptionModel_1000P[[#This Row],[Building]],ResidentBuildings[Building],0)),0)</f>
        <v>0</v>
      </c>
      <c r="I21" s="175">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4</v>
      </c>
      <c r="J21" s="190">
        <f>IF(ConsumptionModel_1000P[[#This Row],[Quantity]]=0,"",IF(AND(ConsumptionModel_1000P[[#This Row],[Resource Demand]]=0,ConsumptionModel_1000P[[#This Row],[Resource Available]]&gt;0),1,MIN(1,IFERROR(ConsumptionModel_1000P[[#This Row],[Resource Available]]/ConsumptionModel_1000P[[#This Row],[Resource Demand]],0))))</f>
        <v>1</v>
      </c>
      <c r="K21" s="177">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21" s="134" t="s">
        <v>51</v>
      </c>
      <c r="P21" s="47">
        <f>SUMIFS(ResourceAvailable_1000P[Amount Produced],ResourceAvailable_1000P[Resource],ResourceMonitor_1000P[[#This Row],[Resource]])</f>
        <v>3194</v>
      </c>
      <c r="Q21" s="47">
        <f>SUMIFS(ResourceAvailable_1000P[Amount Consumed],ResourceAvailable_1000P[Resource],ResourceMonitor_1000P[[#This Row],[Resource]])</f>
        <v>2505.8958333333335</v>
      </c>
      <c r="R21" s="47">
        <f>SUMIFS(ResourceAvailable_1000P[Amount Available for Resident Consumption],ResourceAvailable_1000P[Resource],ResourceMonitor_1000P[[#This Row],[Resource]])</f>
        <v>688.10416666666652</v>
      </c>
      <c r="S21" s="39">
        <f>MAX(0,ResourceMonitor_1000P[[#This Row],[Amount Available for Resident Consumption]]-SUMIFS(ConsumptionModel_1000P[Resource Demand],ConsumptionModel_1000P[Resource],ResourceMonitor_1000P[[#This Row],[Resource]]))</f>
        <v>688.10416666666652</v>
      </c>
      <c r="T21" s="39">
        <f>MIN(0,ResourceMonitor_1000P[[#This Row],[Amount Available for Resident Consumption]]-SUMIFS(ConsumptionModel_1000P[Resource Demand],ConsumptionModel_1000P[Resource],ResourceMonitor_1000P[[#This Row],[Resource]]))</f>
        <v>0</v>
      </c>
      <c r="U21" s="122">
        <f>IFERROR(INDEX(#REF!,MATCH(ResourceMonitor_1000P[[#This Row],[Resource]],#REF!,0)),0)</f>
        <v>0</v>
      </c>
      <c r="V21" s="194">
        <f>IFERROR(ResourceMonitor_1000P[[#This Row],[Amount Produced]]/ResourceMonitor_1000P[[#This Row],[Production Target]],0)</f>
        <v>0</v>
      </c>
      <c r="W21" s="133" t="s">
        <v>242</v>
      </c>
      <c r="X21" s="47">
        <f>IF(ResourceMonitor_1000P[[#This Row],[Ignore shipping needs?]]="Yes",0,ROUNDUP(ResourceMonitor_1000P[[#This Row],[Production Target]]/INDEX(ShipRequirementCalculator[Cargo capacity/h (return, 50% empty)],MATCH($X$15,ShipRequirementCalculator[Ship],0)),0))</f>
        <v>0</v>
      </c>
      <c r="Y21" s="47">
        <f>IF(ResourceMonitor_1000P[[#This Row],[Ignore shipping needs?]]="Yes",0,ROUNDUP(ResourceMonitor_1000P[[#This Row],[Production Target]]/INDEX(ShipRequirementCalculator[Cargo capacity/h (return, 50% empty)],MATCH($Y$15,ShipRequirementCalculator[Ship],0)),0))</f>
        <v>0</v>
      </c>
      <c r="Z21" s="47">
        <f>IF(ResourceMonitor_1000P[[#This Row],[Ignore shipping needs?]]="Yes",0,ROUNDUP(ResourceMonitor_1000P[[#This Row],[Production Target]]/INDEX(ShipRequirementCalculator[Cargo capacity/h (return, 50% empty)],MATCH($Z$15,ShipRequirementCalculator[Ship],0)),0))</f>
        <v>0</v>
      </c>
      <c r="AA21" s="124"/>
      <c r="AD21" s="36">
        <f>ROW()</f>
        <v>21</v>
      </c>
      <c r="AE21" s="73">
        <f>AG16</f>
        <v>3194</v>
      </c>
      <c r="AF21" s="18" t="s">
        <v>51</v>
      </c>
      <c r="AG21" s="18"/>
      <c r="AH21" s="18"/>
      <c r="AI21" s="156">
        <f>IFERROR(IslandModel_1000P[[#This Row],[Quantity]]/IslandModel_1000P[[#This Row],[Target Quantity]],0)</f>
        <v>0</v>
      </c>
      <c r="AJ21" s="20" t="str">
        <f>IFERROR(INDEX(Production[Resource Produced],MATCH(IslandModel_1000P[[#This Row],[Building]],Production[Building],0)),"")</f>
        <v>Land tile</v>
      </c>
      <c r="AK21" s="14">
        <f>IFERROR(IslandModel_1000P[[#This Row],[Quantity]]*INDEX(Production[Production in 1h],MATCH(IslandModel_1000P[[#This Row],[Building]],Production[Building],0))*IslandModel_1000P[[#This Row],[Input Consumption Multiplier]],0)</f>
        <v>3194</v>
      </c>
      <c r="AL21" s="90">
        <f>100%</f>
        <v>1</v>
      </c>
      <c r="AM21"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21" s="35">
        <f>IFERROR(INDEX(Production[Input 1],MATCH(IslandModel_1000P[[#This Row],[Building]],Production[Building],0)),"")</f>
        <v>0</v>
      </c>
      <c r="AO21" s="18"/>
      <c r="AP21" s="41">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21"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0</v>
      </c>
      <c r="AR21" s="41">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21" s="35">
        <f>IFERROR(INDEX(Production[Input 2],MATCH(IslandModel_1000P[[#This Row],[Building]],Production[Building],0)),"")</f>
        <v>0</v>
      </c>
      <c r="AT21" s="18"/>
      <c r="AU21"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21"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21"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21" s="35">
        <f>IFERROR(INDEX(Production[Input 3],MATCH(IslandModel_1000P[[#This Row],[Building]],Production[Building],0)),"")</f>
        <v>0</v>
      </c>
      <c r="AY21" s="18"/>
      <c r="AZ21"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21"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21"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21" s="35">
        <f>IFERROR(INDEX(Production[Input 4],MATCH(IslandModel_1000P[[#This Row],[Building]],Production[Building],0)),"")</f>
        <v>0</v>
      </c>
      <c r="BD21" s="18"/>
      <c r="BE21"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21"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21" s="41">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21" s="35">
        <f>IFERROR(INDEX(Production[Input 5],MATCH(IslandModel_1000P[[#This Row],[Building]],Production[Building],0)),"")</f>
        <v>0</v>
      </c>
      <c r="BI21" s="18"/>
      <c r="BJ21"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21"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21" s="41">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21" s="35">
        <f>IFERROR(INDEX(Production[Input 6],MATCH(IslandModel_1000P[[#This Row],[Building]],Production[Building],0)),"")</f>
        <v>0</v>
      </c>
      <c r="BN21" s="18"/>
      <c r="BO21"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21"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21" s="41">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21" s="35">
        <f>IFERROR(INDEX(Production[Input 7],MATCH(IslandModel_1000P[[#This Row],[Building]],Production[Building],0)),"")</f>
        <v>0</v>
      </c>
      <c r="BS21" s="18"/>
      <c r="BT21"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21"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21" s="41">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21" s="35">
        <f>IFERROR(INDEX(Production[Input 8],MATCH(IslandModel_1000P[[#This Row],[Building]],Production[Building],0)),"")</f>
        <v>0</v>
      </c>
      <c r="BX21" s="18"/>
      <c r="BY21"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21"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21" s="41">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21" s="35">
        <f>IFERROR(INDEX(Production[Input 9],MATCH(IslandModel_1000P[[#This Row],[Building]],Production[Building],0)),"")</f>
        <v>0</v>
      </c>
      <c r="CC21" s="18"/>
      <c r="CD21"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21"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21" s="41">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21" s="35">
        <f>IFERROR(INDEX(Production[Input 10],MATCH(IslandModel_1000P[[#This Row],[Building]],Production[Building],0)),"")</f>
        <v>0</v>
      </c>
      <c r="CH21" s="18"/>
      <c r="CI21"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21"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21" s="41">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21" s="48">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21" s="34" t="str">
        <f>IslandModel_1000P[[#This Row],[Resource Produced]]</f>
        <v>Land tile</v>
      </c>
      <c r="CN21" s="42">
        <f>IslandModel_1000P[[#This Row],[Amount produced/h]]</f>
        <v>3194</v>
      </c>
      <c r="CO21" s="42">
        <f>IslandModel_1000P[[#This Row],[Input 1]]</f>
        <v>0</v>
      </c>
      <c r="CP21" s="42">
        <f>-IslandModel_1000P[[#This Row],[Input 1 Consumed]]</f>
        <v>0</v>
      </c>
      <c r="CQ21" s="42">
        <f>IslandModel_1000P[[#This Row],[Input 2]]</f>
        <v>0</v>
      </c>
      <c r="CR21" s="42">
        <f>-IslandModel_1000P[[#This Row],[Input 2 Consumed]]</f>
        <v>0</v>
      </c>
      <c r="CS21" s="42">
        <f>IslandModel_1000P[[#This Row],[Input 3]]</f>
        <v>0</v>
      </c>
      <c r="CT21" s="42">
        <f>-IslandModel_1000P[[#This Row],[Input 3 Consumed]]</f>
        <v>0</v>
      </c>
      <c r="CU21" s="42">
        <f>IslandModel_1000P[[#This Row],[Input 4]]</f>
        <v>0</v>
      </c>
      <c r="CV21" s="42">
        <f>-IslandModel_1000P[[#This Row],[Input 4 Consumed]]</f>
        <v>0</v>
      </c>
      <c r="CW21" s="42">
        <f>IslandModel_1000P[[#This Row],[Input 5]]</f>
        <v>0</v>
      </c>
      <c r="CX21" s="42">
        <f>-IslandModel_1000P[[#This Row],[Input 5 Consumed]]</f>
        <v>0</v>
      </c>
      <c r="CY21" s="42">
        <f>IslandModel_1000P[[#This Row],[Input 6]]</f>
        <v>0</v>
      </c>
      <c r="CZ21" s="42">
        <f>-IslandModel_1000P[[#This Row],[Input 6 Consumed]]</f>
        <v>0</v>
      </c>
      <c r="DA21" s="42">
        <f>IslandModel_1000P[[#This Row],[Input 7]]</f>
        <v>0</v>
      </c>
      <c r="DB21" s="42">
        <f>-IslandModel_1000P[[#This Row],[Input 7 Consumed]]</f>
        <v>0</v>
      </c>
      <c r="DC21" s="42">
        <f>IslandModel_1000P[[#This Row],[Input 8]]</f>
        <v>0</v>
      </c>
      <c r="DD21" s="42">
        <f>-IslandModel_1000P[[#This Row],[Input 8 Consumed]]</f>
        <v>0</v>
      </c>
      <c r="DE21" s="42">
        <f>IslandModel_1000P[[#This Row],[Input 9]]</f>
        <v>0</v>
      </c>
      <c r="DF21" s="42">
        <f>-IslandModel_1000P[[#This Row],[Input 9 Consumed]]</f>
        <v>0</v>
      </c>
      <c r="DG21" s="42">
        <f>IslandModel_1000P[[#This Row],[Input 10]]</f>
        <v>0</v>
      </c>
      <c r="DH21" s="42">
        <f>-IslandModel_1000P[[#This Row],[Input 10 Consumed]]</f>
        <v>0</v>
      </c>
      <c r="DJ21" s="55"/>
      <c r="DK21" s="39">
        <f>SUM(SUMIFS(IslandModel_1000P[Resource 1 Qty],IslandModel_1000P[Resource 1],ResourceAvailable_1000P[[#This Row],[Resource]]))</f>
        <v>0</v>
      </c>
      <c r="DL21"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21" s="39">
        <f>ResourceAvailable_1000P[[#This Row],[Amount Produced]]-ResourceAvailable_1000P[[#This Row],[Amount Consumed]]</f>
        <v>0</v>
      </c>
      <c r="DN21" s="20">
        <f>MAX(0,ResourceAvailable_1000P[[#This Row],[Amount Available for Resident Consumption]]-SUMIFS(ConsumptionModel_1000P[Resource Demand],ConsumptionModel_1000P[Resource],ResourceAvailable_1000P[[#This Row],[Resource]]))</f>
        <v>0</v>
      </c>
    </row>
    <row r="22" spans="2:118" ht="21" x14ac:dyDescent="0.65">
      <c r="B22" s="178">
        <f>ROW()</f>
        <v>22</v>
      </c>
      <c r="C22" s="70">
        <f>INDEX(ConsumptionModelInputs_1000P[Quantity],MATCH(ConsumptionModel_1000P[[#This Row],[Building]],ConsumptionModelInputs_1000P[Building],0))</f>
        <v>10</v>
      </c>
      <c r="D22" s="179" t="s">
        <v>55</v>
      </c>
      <c r="E22" s="179" t="s">
        <v>63</v>
      </c>
      <c r="F22" s="191" t="str">
        <f>IF(OR(ISBLANK(ConsumptionModel_1000P[[#This Row],[Building]]),ISBLANK(ConsumptionModel_1000P[[#This Row],[Resource]]))," - ",INDEX(Consumption[Type],MATCH(ConsumptionModel_1000P[[#This Row],[LookupValue]],Consumption[LookupValue],0)))</f>
        <v>Luxury</v>
      </c>
      <c r="G22" s="191" t="str">
        <f>IF(OR(ISBLANK(ConsumptionModel_1000P[[#This Row],[Building]]),ISBLANK(ConsumptionModel_1000P[[#This Row],[Resource]]))," - ",ConsumptionModel_1000P[[#This Row],[Building]]&amp;" - "&amp;ConsumptionModel_1000P[[#This Row],[Resource]])</f>
        <v>Pioneer's Hut - Fish</v>
      </c>
      <c r="H22" s="62">
        <f>ConsumptionModel_1000P[[#This Row],[Quantity]]*INDEX(Consumption[Consumption/person/h],MATCH(ConsumptionModel_1000P[[#This Row],[LookupValue]],Consumption[LookupValue],0))*IFERROR(INDEX(ResidentBuildings[Residents],MATCH(ConsumptionModel_1000P[[#This Row],[Building]],ResidentBuildings[Building],0)),0)</f>
        <v>75</v>
      </c>
      <c r="I22"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1080</v>
      </c>
      <c r="J22" s="57">
        <f>IF(ConsumptionModel_1000P[[#This Row],[Quantity]]=0,"",IF(AND(ConsumptionModel_1000P[[#This Row],[Resource Demand]]=0,ConsumptionModel_1000P[[#This Row],[Resource Available]]&gt;0),1,MIN(1,IFERROR(ConsumptionModel_1000P[[#This Row],[Resource Available]]/ConsumptionModel_1000P[[#This Row],[Resource Demand]],0))))</f>
        <v>1</v>
      </c>
      <c r="K22"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15</v>
      </c>
      <c r="O22" s="134" t="s">
        <v>330</v>
      </c>
      <c r="P22" s="47">
        <f>SUMIFS(ResourceAvailable_1000P[Amount Produced],ResourceAvailable_1000P[Resource],ResourceMonitor_1000P[[#This Row],[Resource]])</f>
        <v>4</v>
      </c>
      <c r="Q22" s="47">
        <f>SUMIFS(ResourceAvailable_1000P[Amount Consumed],ResourceAvailable_1000P[Resource],ResourceMonitor_1000P[[#This Row],[Resource]])</f>
        <v>0</v>
      </c>
      <c r="R22" s="47">
        <f>SUMIFS(ResourceAvailable_1000P[Amount Available for Resident Consumption],ResourceAvailable_1000P[Resource],ResourceMonitor_1000P[[#This Row],[Resource]])</f>
        <v>4</v>
      </c>
      <c r="S22" s="39">
        <f>MAX(0,ResourceMonitor_1000P[[#This Row],[Amount Available for Resident Consumption]]-SUMIFS(ConsumptionModel_1000P[Resource Demand],ConsumptionModel_1000P[Resource],ResourceMonitor_1000P[[#This Row],[Resource]]))</f>
        <v>4</v>
      </c>
      <c r="T22" s="39">
        <f>MIN(0,ResourceMonitor_1000P[[#This Row],[Amount Available for Resident Consumption]]-SUMIFS(ConsumptionModel_1000P[Resource Demand],ConsumptionModel_1000P[Resource],ResourceMonitor_1000P[[#This Row],[Resource]]))</f>
        <v>0</v>
      </c>
      <c r="U22" s="122">
        <f>IFERROR(INDEX(#REF!,MATCH(ResourceMonitor_1000P[[#This Row],[Resource]],#REF!,0)),0)</f>
        <v>0</v>
      </c>
      <c r="V22" s="194">
        <f>IFERROR(ResourceMonitor_1000P[[#This Row],[Amount Produced]]/ResourceMonitor_1000P[[#This Row],[Production Target]],0)</f>
        <v>0</v>
      </c>
      <c r="W22" s="133" t="s">
        <v>242</v>
      </c>
      <c r="X22" s="47">
        <f>IF(ResourceMonitor_1000P[[#This Row],[Ignore shipping needs?]]="Yes",0,ROUNDUP(ResourceMonitor_1000P[[#This Row],[Production Target]]/INDEX(ShipRequirementCalculator[Cargo capacity/h (return, 50% empty)],MATCH($X$15,ShipRequirementCalculator[Ship],0)),0))</f>
        <v>0</v>
      </c>
      <c r="Y22" s="47">
        <f>IF(ResourceMonitor_1000P[[#This Row],[Ignore shipping needs?]]="Yes",0,ROUNDUP(ResourceMonitor_1000P[[#This Row],[Production Target]]/INDEX(ShipRequirementCalculator[Cargo capacity/h (return, 50% empty)],MATCH($Y$15,ShipRequirementCalculator[Ship],0)),0))</f>
        <v>0</v>
      </c>
      <c r="Z22" s="47">
        <f>IF(ResourceMonitor_1000P[[#This Row],[Ignore shipping needs?]]="Yes",0,ROUNDUP(ResourceMonitor_1000P[[#This Row],[Production Target]]/INDEX(ShipRequirementCalculator[Cargo capacity/h (return, 50% empty)],MATCH($Z$15,ShipRequirementCalculator[Ship],0)),0))</f>
        <v>0</v>
      </c>
      <c r="AA22" s="124"/>
      <c r="AD22" s="36">
        <f>ROW()</f>
        <v>22</v>
      </c>
      <c r="AE22" s="73">
        <f>ROUNDUP(AG16*10%,0)</f>
        <v>320</v>
      </c>
      <c r="AF22" s="18" t="s">
        <v>53</v>
      </c>
      <c r="AG22" s="18"/>
      <c r="AH22" s="18"/>
      <c r="AI22" s="156">
        <f>IFERROR(IslandModel_1000P[[#This Row],[Quantity]]/IslandModel_1000P[[#This Row],[Target Quantity]],0)</f>
        <v>0</v>
      </c>
      <c r="AJ22" s="20" t="str">
        <f>IFERROR(INDEX(Production[Resource Produced],MATCH(IslandModel_1000P[[#This Row],[Building]],Production[Building],0)),"")</f>
        <v>Mountain tile</v>
      </c>
      <c r="AK22" s="14">
        <f>IFERROR(IslandModel_1000P[[#This Row],[Quantity]]*INDEX(Production[Production in 1h],MATCH(IslandModel_1000P[[#This Row],[Building]],Production[Building],0))*IslandModel_1000P[[#This Row],[Input Consumption Multiplier]],0)</f>
        <v>320</v>
      </c>
      <c r="AL22" s="90">
        <f>100%</f>
        <v>1</v>
      </c>
      <c r="AM22"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22" s="35" t="str">
        <f>IFERROR(INDEX(Production[Input 1],MATCH(IslandModel_1000P[[#This Row],[Building]],Production[Building],0)),"")</f>
        <v>Land tile</v>
      </c>
      <c r="AO22" s="18"/>
      <c r="AP22" s="41">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320</v>
      </c>
      <c r="AQ22"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3194</v>
      </c>
      <c r="AR22" s="41">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320</v>
      </c>
      <c r="AS22" s="35">
        <f>IFERROR(INDEX(Production[Input 2],MATCH(IslandModel_1000P[[#This Row],[Building]],Production[Building],0)),"")</f>
        <v>0</v>
      </c>
      <c r="AT22" s="18"/>
      <c r="AU22"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22"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22"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22" s="35">
        <f>IFERROR(INDEX(Production[Input 3],MATCH(IslandModel_1000P[[#This Row],[Building]],Production[Building],0)),"")</f>
        <v>0</v>
      </c>
      <c r="AY22" s="18"/>
      <c r="AZ22"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22"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22"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22" s="35">
        <f>IFERROR(INDEX(Production[Input 4],MATCH(IslandModel_1000P[[#This Row],[Building]],Production[Building],0)),"")</f>
        <v>0</v>
      </c>
      <c r="BD22" s="18"/>
      <c r="BE22"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22"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22" s="41">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22" s="35">
        <f>IFERROR(INDEX(Production[Input 5],MATCH(IslandModel_1000P[[#This Row],[Building]],Production[Building],0)),"")</f>
        <v>0</v>
      </c>
      <c r="BI22" s="18"/>
      <c r="BJ22"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22"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22" s="41">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22" s="35">
        <f>IFERROR(INDEX(Production[Input 6],MATCH(IslandModel_1000P[[#This Row],[Building]],Production[Building],0)),"")</f>
        <v>0</v>
      </c>
      <c r="BN22" s="18"/>
      <c r="BO22"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22"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22" s="41">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22" s="35">
        <f>IFERROR(INDEX(Production[Input 7],MATCH(IslandModel_1000P[[#This Row],[Building]],Production[Building],0)),"")</f>
        <v>0</v>
      </c>
      <c r="BS22" s="18"/>
      <c r="BT22"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22"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22" s="41">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22" s="35">
        <f>IFERROR(INDEX(Production[Input 8],MATCH(IslandModel_1000P[[#This Row],[Building]],Production[Building],0)),"")</f>
        <v>0</v>
      </c>
      <c r="BX22" s="18"/>
      <c r="BY22"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22"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22" s="41">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22" s="35">
        <f>IFERROR(INDEX(Production[Input 9],MATCH(IslandModel_1000P[[#This Row],[Building]],Production[Building],0)),"")</f>
        <v>0</v>
      </c>
      <c r="CC22" s="18"/>
      <c r="CD22"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22"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22" s="41">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22" s="35">
        <f>IFERROR(INDEX(Production[Input 10],MATCH(IslandModel_1000P[[#This Row],[Building]],Production[Building],0)),"")</f>
        <v>0</v>
      </c>
      <c r="CH22" s="18"/>
      <c r="CI22"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22"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22" s="41">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22" s="48">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22" s="34" t="str">
        <f>IslandModel_1000P[[#This Row],[Resource Produced]]</f>
        <v>Mountain tile</v>
      </c>
      <c r="CN22" s="42">
        <f>IslandModel_1000P[[#This Row],[Amount produced/h]]</f>
        <v>320</v>
      </c>
      <c r="CO22" s="42" t="str">
        <f>IslandModel_1000P[[#This Row],[Input 1]]</f>
        <v>Land tile</v>
      </c>
      <c r="CP22" s="42">
        <f>-IslandModel_1000P[[#This Row],[Input 1 Consumed]]</f>
        <v>-320</v>
      </c>
      <c r="CQ22" s="42">
        <f>IslandModel_1000P[[#This Row],[Input 2]]</f>
        <v>0</v>
      </c>
      <c r="CR22" s="42">
        <f>-IslandModel_1000P[[#This Row],[Input 2 Consumed]]</f>
        <v>0</v>
      </c>
      <c r="CS22" s="42">
        <f>IslandModel_1000P[[#This Row],[Input 3]]</f>
        <v>0</v>
      </c>
      <c r="CT22" s="42">
        <f>-IslandModel_1000P[[#This Row],[Input 3 Consumed]]</f>
        <v>0</v>
      </c>
      <c r="CU22" s="42">
        <f>IslandModel_1000P[[#This Row],[Input 4]]</f>
        <v>0</v>
      </c>
      <c r="CV22" s="42">
        <f>-IslandModel_1000P[[#This Row],[Input 4 Consumed]]</f>
        <v>0</v>
      </c>
      <c r="CW22" s="42">
        <f>IslandModel_1000P[[#This Row],[Input 5]]</f>
        <v>0</v>
      </c>
      <c r="CX22" s="42">
        <f>-IslandModel_1000P[[#This Row],[Input 5 Consumed]]</f>
        <v>0</v>
      </c>
      <c r="CY22" s="42">
        <f>IslandModel_1000P[[#This Row],[Input 6]]</f>
        <v>0</v>
      </c>
      <c r="CZ22" s="42">
        <f>-IslandModel_1000P[[#This Row],[Input 6 Consumed]]</f>
        <v>0</v>
      </c>
      <c r="DA22" s="42">
        <f>IslandModel_1000P[[#This Row],[Input 7]]</f>
        <v>0</v>
      </c>
      <c r="DB22" s="42">
        <f>-IslandModel_1000P[[#This Row],[Input 7 Consumed]]</f>
        <v>0</v>
      </c>
      <c r="DC22" s="42">
        <f>IslandModel_1000P[[#This Row],[Input 8]]</f>
        <v>0</v>
      </c>
      <c r="DD22" s="42">
        <f>-IslandModel_1000P[[#This Row],[Input 8 Consumed]]</f>
        <v>0</v>
      </c>
      <c r="DE22" s="42">
        <f>IslandModel_1000P[[#This Row],[Input 9]]</f>
        <v>0</v>
      </c>
      <c r="DF22" s="42">
        <f>-IslandModel_1000P[[#This Row],[Input 9 Consumed]]</f>
        <v>0</v>
      </c>
      <c r="DG22" s="42">
        <f>IslandModel_1000P[[#This Row],[Input 10]]</f>
        <v>0</v>
      </c>
      <c r="DH22" s="42">
        <f>-IslandModel_1000P[[#This Row],[Input 10 Consumed]]</f>
        <v>0</v>
      </c>
      <c r="DJ22" s="55" t="s">
        <v>10</v>
      </c>
      <c r="DK22" s="39">
        <f>SUM(SUMIFS(IslandModel_1000P[Resource 1 Qty],IslandModel_1000P[Resource 1],ResourceAvailable_1000P[[#This Row],[Resource]]))</f>
        <v>0</v>
      </c>
      <c r="DL22"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22" s="39">
        <f>ResourceAvailable_1000P[[#This Row],[Amount Produced]]-ResourceAvailable_1000P[[#This Row],[Amount Consumed]]</f>
        <v>0</v>
      </c>
      <c r="DN22" s="20">
        <f>MAX(0,ResourceAvailable_1000P[[#This Row],[Amount Available for Resident Consumption]]-SUMIFS(ConsumptionModel_1000P[Resource Demand],ConsumptionModel_1000P[Resource],ResourceAvailable_1000P[[#This Row],[Resource]]))</f>
        <v>0</v>
      </c>
    </row>
    <row r="23" spans="2:118" ht="21.4" thickBot="1" x14ac:dyDescent="0.7">
      <c r="B23" s="181">
        <f>ROW()</f>
        <v>23</v>
      </c>
      <c r="C23" s="182">
        <f>INDEX(ConsumptionModelInputs_1000P[Quantity],MATCH(ConsumptionModel_1000P[[#This Row],[Building]],ConsumptionModelInputs_1000P[Building],0))</f>
        <v>10</v>
      </c>
      <c r="D23" s="183" t="s">
        <v>55</v>
      </c>
      <c r="E23" s="183" t="s">
        <v>66</v>
      </c>
      <c r="F23" s="192" t="str">
        <f>IF(OR(ISBLANK(ConsumptionModel_1000P[[#This Row],[Building]]),ISBLANK(ConsumptionModel_1000P[[#This Row],[Resource]]))," - ",INDEX(Consumption[Type],MATCH(ConsumptionModel_1000P[[#This Row],[LookupValue]],Consumption[LookupValue],0)))</f>
        <v>Luxury</v>
      </c>
      <c r="G23" s="192" t="str">
        <f>IF(OR(ISBLANK(ConsumptionModel_1000P[[#This Row],[Building]]),ISBLANK(ConsumptionModel_1000P[[#This Row],[Resource]]))," - ",ConsumptionModel_1000P[[#This Row],[Building]]&amp;" - "&amp;ConsumptionModel_1000P[[#This Row],[Resource]])</f>
        <v>Pioneer's Hut - Schnapps</v>
      </c>
      <c r="H23" s="186">
        <f>ConsumptionModel_1000P[[#This Row],[Quantity]]*INDEX(Consumption[Consumption/person/h],MATCH(ConsumptionModel_1000P[[#This Row],[LookupValue]],Consumption[LookupValue],0))*IFERROR(INDEX(ResidentBuildings[Residents],MATCH(ConsumptionModel_1000P[[#This Row],[Building]],ResidentBuildings[Building],0)),0)</f>
        <v>50</v>
      </c>
      <c r="I23" s="186">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1095</v>
      </c>
      <c r="J23" s="193">
        <f>IF(ConsumptionModel_1000P[[#This Row],[Quantity]]=0,"",IF(AND(ConsumptionModel_1000P[[#This Row],[Resource Demand]]=0,ConsumptionModel_1000P[[#This Row],[Resource Available]]&gt;0),1,MIN(1,IFERROR(ConsumptionModel_1000P[[#This Row],[Resource Available]]/ConsumptionModel_1000P[[#This Row],[Resource Demand]],0))))</f>
        <v>1</v>
      </c>
      <c r="K23" s="188">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15</v>
      </c>
      <c r="N23" s="7" t="s">
        <v>831</v>
      </c>
      <c r="O23" s="134" t="s">
        <v>63</v>
      </c>
      <c r="P23" s="47">
        <f>SUMIFS(ResourceAvailable_1000P[Amount Produced],ResourceAvailable_1000P[Resource],ResourceMonitor_1000P[[#This Row],[Resource]])</f>
        <v>1080</v>
      </c>
      <c r="Q23" s="47">
        <f>SUMIFS(ResourceAvailable_1000P[Amount Consumed],ResourceAvailable_1000P[Resource],ResourceMonitor_1000P[[#This Row],[Resource]])</f>
        <v>0</v>
      </c>
      <c r="R23" s="47">
        <f>SUMIFS(ResourceAvailable_1000P[Amount Available for Resident Consumption],ResourceAvailable_1000P[Resource],ResourceMonitor_1000P[[#This Row],[Resource]])</f>
        <v>1080</v>
      </c>
      <c r="S23" s="39">
        <f>MAX(0,ResourceMonitor_1000P[[#This Row],[Amount Available for Resident Consumption]]-SUMIFS(ConsumptionModel_1000P[Resource Demand],ConsumptionModel_1000P[Resource],ResourceMonitor_1000P[[#This Row],[Resource]]))</f>
        <v>30</v>
      </c>
      <c r="T23" s="39">
        <f>MIN(0,ResourceMonitor_1000P[[#This Row],[Amount Available for Resident Consumption]]-SUMIFS(ConsumptionModel_1000P[Resource Demand],ConsumptionModel_1000P[Resource],ResourceMonitor_1000P[[#This Row],[Resource]]))</f>
        <v>0</v>
      </c>
      <c r="U23" s="122">
        <f>IFERROR(INDEX(#REF!,MATCH(ResourceMonitor_1000P[[#This Row],[Resource]],#REF!,0)),0)</f>
        <v>0</v>
      </c>
      <c r="V23" s="194">
        <f>IFERROR(ResourceMonitor_1000P[[#This Row],[Amount Produced]]/ResourceMonitor_1000P[[#This Row],[Production Target]],0)</f>
        <v>0</v>
      </c>
      <c r="W23" s="133"/>
      <c r="X23" s="47">
        <f>IF(ResourceMonitor_1000P[[#This Row],[Ignore shipping needs?]]="Yes",0,ROUNDUP(ResourceMonitor_1000P[[#This Row],[Production Target]]/INDEX(ShipRequirementCalculator[Cargo capacity/h (return, 50% empty)],MATCH($X$15,ShipRequirementCalculator[Ship],0)),0))</f>
        <v>0</v>
      </c>
      <c r="Y23" s="47">
        <f>IF(ResourceMonitor_1000P[[#This Row],[Ignore shipping needs?]]="Yes",0,ROUNDUP(ResourceMonitor_1000P[[#This Row],[Production Target]]/INDEX(ShipRequirementCalculator[Cargo capacity/h (return, 50% empty)],MATCH($Y$15,ShipRequirementCalculator[Ship],0)),0))</f>
        <v>0</v>
      </c>
      <c r="Z23" s="47">
        <f>IF(ResourceMonitor_1000P[[#This Row],[Ignore shipping needs?]]="Yes",0,ROUNDUP(ResourceMonitor_1000P[[#This Row],[Production Target]]/INDEX(ShipRequirementCalculator[Cargo capacity/h (return, 50% empty)],MATCH($Z$15,ShipRequirementCalculator[Ship],0)),0))</f>
        <v>0</v>
      </c>
      <c r="AA23" s="124"/>
      <c r="AD23" s="36">
        <f>ROW()</f>
        <v>23</v>
      </c>
      <c r="AE23" s="73">
        <f>AG17</f>
        <v>354</v>
      </c>
      <c r="AF23" s="18" t="s">
        <v>52</v>
      </c>
      <c r="AG23" s="18"/>
      <c r="AH23" s="18"/>
      <c r="AI23" s="156">
        <f>IFERROR(IslandModel_1000P[[#This Row],[Quantity]]/IslandModel_1000P[[#This Row],[Target Quantity]],0)</f>
        <v>0</v>
      </c>
      <c r="AJ23" s="20" t="str">
        <f>IFERROR(INDEX(Production[Resource Produced],MATCH(IslandModel_1000P[[#This Row],[Building]],Production[Building],0)),"")</f>
        <v>Water tile</v>
      </c>
      <c r="AK23" s="14">
        <f>IFERROR(IslandModel_1000P[[#This Row],[Quantity]]*INDEX(Production[Production in 1h],MATCH(IslandModel_1000P[[#This Row],[Building]],Production[Building],0))*IslandModel_1000P[[#This Row],[Input Consumption Multiplier]],0)</f>
        <v>354</v>
      </c>
      <c r="AL23" s="90">
        <f>100%</f>
        <v>1</v>
      </c>
      <c r="AM23"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23" s="35">
        <f>IFERROR(INDEX(Production[Input 1],MATCH(IslandModel_1000P[[#This Row],[Building]],Production[Building],0)),"")</f>
        <v>0</v>
      </c>
      <c r="AO23" s="18"/>
      <c r="AP23" s="41">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23"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0</v>
      </c>
      <c r="AR23" s="41">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23" s="35">
        <f>IFERROR(INDEX(Production[Input 2],MATCH(IslandModel_1000P[[#This Row],[Building]],Production[Building],0)),"")</f>
        <v>0</v>
      </c>
      <c r="AT23" s="18"/>
      <c r="AU23"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23"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23"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23" s="35">
        <f>IFERROR(INDEX(Production[Input 3],MATCH(IslandModel_1000P[[#This Row],[Building]],Production[Building],0)),"")</f>
        <v>0</v>
      </c>
      <c r="AY23" s="18"/>
      <c r="AZ23"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23"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23"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23" s="35">
        <f>IFERROR(INDEX(Production[Input 4],MATCH(IslandModel_1000P[[#This Row],[Building]],Production[Building],0)),"")</f>
        <v>0</v>
      </c>
      <c r="BD23" s="18"/>
      <c r="BE23"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23"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23" s="41">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23" s="35">
        <f>IFERROR(INDEX(Production[Input 5],MATCH(IslandModel_1000P[[#This Row],[Building]],Production[Building],0)),"")</f>
        <v>0</v>
      </c>
      <c r="BI23" s="18"/>
      <c r="BJ23"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23"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23" s="41">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23" s="35">
        <f>IFERROR(INDEX(Production[Input 6],MATCH(IslandModel_1000P[[#This Row],[Building]],Production[Building],0)),"")</f>
        <v>0</v>
      </c>
      <c r="BN23" s="18"/>
      <c r="BO23"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23"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23" s="41">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23" s="35">
        <f>IFERROR(INDEX(Production[Input 7],MATCH(IslandModel_1000P[[#This Row],[Building]],Production[Building],0)),"")</f>
        <v>0</v>
      </c>
      <c r="BS23" s="18"/>
      <c r="BT23"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23"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23" s="41">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23" s="35">
        <f>IFERROR(INDEX(Production[Input 8],MATCH(IslandModel_1000P[[#This Row],[Building]],Production[Building],0)),"")</f>
        <v>0</v>
      </c>
      <c r="BX23" s="18"/>
      <c r="BY23"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23"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23" s="41">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23" s="35">
        <f>IFERROR(INDEX(Production[Input 9],MATCH(IslandModel_1000P[[#This Row],[Building]],Production[Building],0)),"")</f>
        <v>0</v>
      </c>
      <c r="CC23" s="18"/>
      <c r="CD23"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23"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23" s="41">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23" s="35">
        <f>IFERROR(INDEX(Production[Input 10],MATCH(IslandModel_1000P[[#This Row],[Building]],Production[Building],0)),"")</f>
        <v>0</v>
      </c>
      <c r="CH23" s="18"/>
      <c r="CI23"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23"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23" s="41">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23" s="48">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23" s="34" t="str">
        <f>IslandModel_1000P[[#This Row],[Resource Produced]]</f>
        <v>Water tile</v>
      </c>
      <c r="CN23" s="42">
        <f>IslandModel_1000P[[#This Row],[Amount produced/h]]</f>
        <v>354</v>
      </c>
      <c r="CO23" s="42">
        <f>IslandModel_1000P[[#This Row],[Input 1]]</f>
        <v>0</v>
      </c>
      <c r="CP23" s="42">
        <f>-IslandModel_1000P[[#This Row],[Input 1 Consumed]]</f>
        <v>0</v>
      </c>
      <c r="CQ23" s="42">
        <f>IslandModel_1000P[[#This Row],[Input 2]]</f>
        <v>0</v>
      </c>
      <c r="CR23" s="42">
        <f>-IslandModel_1000P[[#This Row],[Input 2 Consumed]]</f>
        <v>0</v>
      </c>
      <c r="CS23" s="42">
        <f>IslandModel_1000P[[#This Row],[Input 3]]</f>
        <v>0</v>
      </c>
      <c r="CT23" s="42">
        <f>-IslandModel_1000P[[#This Row],[Input 3 Consumed]]</f>
        <v>0</v>
      </c>
      <c r="CU23" s="42">
        <f>IslandModel_1000P[[#This Row],[Input 4]]</f>
        <v>0</v>
      </c>
      <c r="CV23" s="42">
        <f>-IslandModel_1000P[[#This Row],[Input 4 Consumed]]</f>
        <v>0</v>
      </c>
      <c r="CW23" s="42">
        <f>IslandModel_1000P[[#This Row],[Input 5]]</f>
        <v>0</v>
      </c>
      <c r="CX23" s="42">
        <f>-IslandModel_1000P[[#This Row],[Input 5 Consumed]]</f>
        <v>0</v>
      </c>
      <c r="CY23" s="42">
        <f>IslandModel_1000P[[#This Row],[Input 6]]</f>
        <v>0</v>
      </c>
      <c r="CZ23" s="42">
        <f>-IslandModel_1000P[[#This Row],[Input 6 Consumed]]</f>
        <v>0</v>
      </c>
      <c r="DA23" s="42">
        <f>IslandModel_1000P[[#This Row],[Input 7]]</f>
        <v>0</v>
      </c>
      <c r="DB23" s="42">
        <f>-IslandModel_1000P[[#This Row],[Input 7 Consumed]]</f>
        <v>0</v>
      </c>
      <c r="DC23" s="42">
        <f>IslandModel_1000P[[#This Row],[Input 8]]</f>
        <v>0</v>
      </c>
      <c r="DD23" s="42">
        <f>-IslandModel_1000P[[#This Row],[Input 8 Consumed]]</f>
        <v>0</v>
      </c>
      <c r="DE23" s="42">
        <f>IslandModel_1000P[[#This Row],[Input 9]]</f>
        <v>0</v>
      </c>
      <c r="DF23" s="42">
        <f>-IslandModel_1000P[[#This Row],[Input 9 Consumed]]</f>
        <v>0</v>
      </c>
      <c r="DG23" s="42">
        <f>IslandModel_1000P[[#This Row],[Input 10]]</f>
        <v>0</v>
      </c>
      <c r="DH23" s="42">
        <f>-IslandModel_1000P[[#This Row],[Input 10 Consumed]]</f>
        <v>0</v>
      </c>
      <c r="DJ23" s="55" t="s">
        <v>386</v>
      </c>
      <c r="DK23" s="39">
        <f>SUM(SUMIFS(IslandModel_1000P[Resource 1 Qty],IslandModel_1000P[Resource 1],ResourceAvailable_1000P[[#This Row],[Resource]]))</f>
        <v>0</v>
      </c>
      <c r="DL23"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23" s="39">
        <f>ResourceAvailable_1000P[[#This Row],[Amount Produced]]-ResourceAvailable_1000P[[#This Row],[Amount Consumed]]</f>
        <v>0</v>
      </c>
      <c r="DN23" s="20">
        <f>MAX(0,ResourceAvailable_1000P[[#This Row],[Amount Available for Resident Consumption]]-SUMIFS(ConsumptionModel_1000P[Resource Demand],ConsumptionModel_1000P[Resource],ResourceAvailable_1000P[[#This Row],[Resource]]))</f>
        <v>0</v>
      </c>
    </row>
    <row r="24" spans="2:118" ht="21" x14ac:dyDescent="0.65">
      <c r="B24" s="170">
        <f>ROW()</f>
        <v>24</v>
      </c>
      <c r="C24" s="171">
        <f>INDEX(ConsumptionModelInputs_1000P[Quantity],MATCH(ConsumptionModel_1000P[[#This Row],[Building]],ConsumptionModelInputs_1000P[Building],0))</f>
        <v>0</v>
      </c>
      <c r="D24" s="172" t="s">
        <v>403</v>
      </c>
      <c r="E24" s="172" t="s">
        <v>330</v>
      </c>
      <c r="F24" s="189" t="str">
        <f>IF(OR(ISBLANK(ConsumptionModel_1000P[[#This Row],[Building]]),ISBLANK(ConsumptionModel_1000P[[#This Row],[Resource]]))," - ",INDEX(Consumption[Type],MATCH(ConsumptionModel_1000P[[#This Row],[LookupValue]],Consumption[LookupValue],0)))</f>
        <v>Need</v>
      </c>
      <c r="G24" s="189" t="str">
        <f>IF(OR(ISBLANK(ConsumptionModel_1000P[[#This Row],[Building]]),ISBLANK(ConsumptionModel_1000P[[#This Row],[Resource]]))," - ",ConsumptionModel_1000P[[#This Row],[Building]]&amp;" - "&amp;ConsumptionModel_1000P[[#This Row],[Resource]])</f>
        <v>Pioneer's Hut (only consuming fish) - Water</v>
      </c>
      <c r="H24" s="175">
        <f>ConsumptionModel_1000P[[#This Row],[Quantity]]*INDEX(Consumption[Consumption/person/h],MATCH(ConsumptionModel_1000P[[#This Row],[LookupValue]],Consumption[LookupValue],0))*IFERROR(INDEX(ResidentBuildings[Residents],MATCH(ConsumptionModel_1000P[[#This Row],[Building]],ResidentBuildings[Building],0)),0)</f>
        <v>0</v>
      </c>
      <c r="I24" s="175" t="str">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
      </c>
      <c r="J24" s="190" t="str">
        <f>IF(ConsumptionModel_1000P[[#This Row],[Quantity]]=0,"",IF(AND(ConsumptionModel_1000P[[#This Row],[Resource Demand]]=0,ConsumptionModel_1000P[[#This Row],[Resource Available]]&gt;0),1,MIN(1,IFERROR(ConsumptionModel_1000P[[#This Row],[Resource Available]]/ConsumptionModel_1000P[[#This Row],[Resource Demand]],0))))</f>
        <v/>
      </c>
      <c r="K24" s="177" t="str">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
      </c>
      <c r="N24" s="7" t="s">
        <v>834</v>
      </c>
      <c r="O24" s="134" t="s">
        <v>66</v>
      </c>
      <c r="P24" s="47">
        <f>SUMIFS(ResourceAvailable_1000P[Amount Produced],ResourceAvailable_1000P[Resource],ResourceMonitor_1000P[[#This Row],[Resource]])</f>
        <v>1500</v>
      </c>
      <c r="Q24" s="47">
        <f>SUMIFS(ResourceAvailable_1000P[Amount Consumed],ResourceAvailable_1000P[Resource],ResourceMonitor_1000P[[#This Row],[Resource]])</f>
        <v>405</v>
      </c>
      <c r="R24" s="47">
        <f>SUMIFS(ResourceAvailable_1000P[Amount Available for Resident Consumption],ResourceAvailable_1000P[Resource],ResourceMonitor_1000P[[#This Row],[Resource]])</f>
        <v>1095</v>
      </c>
      <c r="S24" s="39">
        <f>MAX(0,ResourceMonitor_1000P[[#This Row],[Amount Available for Resident Consumption]]-SUMIFS(ConsumptionModel_1000P[Resource Demand],ConsumptionModel_1000P[Resource],ResourceMonitor_1000P[[#This Row],[Resource]]))</f>
        <v>95</v>
      </c>
      <c r="T24" s="39">
        <f>MIN(0,ResourceMonitor_1000P[[#This Row],[Amount Available for Resident Consumption]]-SUMIFS(ConsumptionModel_1000P[Resource Demand],ConsumptionModel_1000P[Resource],ResourceMonitor_1000P[[#This Row],[Resource]]))</f>
        <v>0</v>
      </c>
      <c r="U24" s="122">
        <f>IFERROR(INDEX(#REF!,MATCH(ResourceMonitor_1000P[[#This Row],[Resource]],#REF!,0)),0)</f>
        <v>0</v>
      </c>
      <c r="V24" s="194">
        <f>IFERROR(ResourceMonitor_1000P[[#This Row],[Amount Produced]]/ResourceMonitor_1000P[[#This Row],[Production Target]],0)</f>
        <v>0</v>
      </c>
      <c r="W24" s="133"/>
      <c r="X24" s="47">
        <f>IF(ResourceMonitor_1000P[[#This Row],[Ignore shipping needs?]]="Yes",0,ROUNDUP(ResourceMonitor_1000P[[#This Row],[Production Target]]/INDEX(ShipRequirementCalculator[Cargo capacity/h (return, 50% empty)],MATCH($X$15,ShipRequirementCalculator[Ship],0)),0))</f>
        <v>0</v>
      </c>
      <c r="Y24" s="47">
        <f>IF(ResourceMonitor_1000P[[#This Row],[Ignore shipping needs?]]="Yes",0,ROUNDUP(ResourceMonitor_1000P[[#This Row],[Production Target]]/INDEX(ShipRequirementCalculator[Cargo capacity/h (return, 50% empty)],MATCH($Y$15,ShipRequirementCalculator[Ship],0)),0))</f>
        <v>0</v>
      </c>
      <c r="Z24" s="47">
        <f>IF(ResourceMonitor_1000P[[#This Row],[Ignore shipping needs?]]="Yes",0,ROUNDUP(ResourceMonitor_1000P[[#This Row],[Production Target]]/INDEX(ShipRequirementCalculator[Cargo capacity/h (return, 50% empty)],MATCH($Z$15,ShipRequirementCalculator[Ship],0)),0))</f>
        <v>0</v>
      </c>
      <c r="AA24" s="124"/>
      <c r="AC24" s="102" t="s">
        <v>330</v>
      </c>
      <c r="AD24" s="36">
        <f>ROW()</f>
        <v>24</v>
      </c>
      <c r="AE24" s="74">
        <v>4</v>
      </c>
      <c r="AF24" s="18" t="s">
        <v>333</v>
      </c>
      <c r="AG24" s="18"/>
      <c r="AH24" s="74">
        <v>4</v>
      </c>
      <c r="AI24" s="156">
        <f>IFERROR(IslandModel_1000P[[#This Row],[Quantity]]/IslandModel_1000P[[#This Row],[Target Quantity]],0)</f>
        <v>1</v>
      </c>
      <c r="AJ24" s="20" t="str">
        <f>IFERROR(INDEX(Production[Resource Produced],MATCH(IslandModel_1000P[[#This Row],[Building]],Production[Building],0)),"")</f>
        <v>Water</v>
      </c>
      <c r="AK24" s="14">
        <f>IFERROR(IslandModel_1000P[[#This Row],[Quantity]]*INDEX(Production[Production in 1h],MATCH(IslandModel_1000P[[#This Row],[Building]],Production[Building],0))*IslandModel_1000P[[#This Row],[Input Consumption Multiplier]],0)</f>
        <v>4</v>
      </c>
      <c r="AL24" s="90">
        <f>100%</f>
        <v>1</v>
      </c>
      <c r="AM24"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24" s="35" t="str">
        <f>IFERROR(INDEX(Production[Input 1],MATCH(IslandModel_1000P[[#This Row],[Building]],Production[Building],0)),"")</f>
        <v>Land tile</v>
      </c>
      <c r="AO24" s="18"/>
      <c r="AP24" s="41">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4</v>
      </c>
      <c r="AQ24"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2874</v>
      </c>
      <c r="AR24" s="41">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4</v>
      </c>
      <c r="AS24" s="35">
        <f>IFERROR(INDEX(Production[Input 2],MATCH(IslandModel_1000P[[#This Row],[Building]],Production[Building],0)),"")</f>
        <v>0</v>
      </c>
      <c r="AT24" s="18"/>
      <c r="AU24"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24"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24"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24" s="35">
        <f>IFERROR(INDEX(Production[Input 3],MATCH(IslandModel_1000P[[#This Row],[Building]],Production[Building],0)),"")</f>
        <v>0</v>
      </c>
      <c r="AY24" s="18"/>
      <c r="AZ24"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24"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24"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24" s="35">
        <f>IFERROR(INDEX(Production[Input 4],MATCH(IslandModel_1000P[[#This Row],[Building]],Production[Building],0)),"")</f>
        <v>0</v>
      </c>
      <c r="BD24" s="18"/>
      <c r="BE24"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24"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24" s="41">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24" s="35">
        <f>IFERROR(INDEX(Production[Input 5],MATCH(IslandModel_1000P[[#This Row],[Building]],Production[Building],0)),"")</f>
        <v>0</v>
      </c>
      <c r="BI24" s="18"/>
      <c r="BJ24"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24"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24" s="41">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24" s="35">
        <f>IFERROR(INDEX(Production[Input 6],MATCH(IslandModel_1000P[[#This Row],[Building]],Production[Building],0)),"")</f>
        <v>0</v>
      </c>
      <c r="BN24" s="18"/>
      <c r="BO24"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24"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24" s="41">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24" s="35">
        <f>IFERROR(INDEX(Production[Input 7],MATCH(IslandModel_1000P[[#This Row],[Building]],Production[Building],0)),"")</f>
        <v>0</v>
      </c>
      <c r="BS24" s="18"/>
      <c r="BT24"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24"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24" s="41">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24" s="35">
        <f>IFERROR(INDEX(Production[Input 8],MATCH(IslandModel_1000P[[#This Row],[Building]],Production[Building],0)),"")</f>
        <v>0</v>
      </c>
      <c r="BX24" s="18"/>
      <c r="BY24"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24"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24" s="41">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24" s="35">
        <f>IFERROR(INDEX(Production[Input 9],MATCH(IslandModel_1000P[[#This Row],[Building]],Production[Building],0)),"")</f>
        <v>0</v>
      </c>
      <c r="CC24" s="18"/>
      <c r="CD24"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24"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24" s="41">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24" s="35">
        <f>IFERROR(INDEX(Production[Input 10],MATCH(IslandModel_1000P[[#This Row],[Building]],Production[Building],0)),"")</f>
        <v>0</v>
      </c>
      <c r="CH24" s="18"/>
      <c r="CI24"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24"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24" s="41">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24" s="48">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24" s="34" t="str">
        <f>IslandModel_1000P[[#This Row],[Resource Produced]]</f>
        <v>Water</v>
      </c>
      <c r="CN24" s="42">
        <f>IslandModel_1000P[[#This Row],[Amount produced/h]]</f>
        <v>4</v>
      </c>
      <c r="CO24" s="42" t="str">
        <f>IslandModel_1000P[[#This Row],[Input 1]]</f>
        <v>Land tile</v>
      </c>
      <c r="CP24" s="42">
        <f>-IslandModel_1000P[[#This Row],[Input 1 Consumed]]</f>
        <v>-4</v>
      </c>
      <c r="CQ24" s="42">
        <f>IslandModel_1000P[[#This Row],[Input 2]]</f>
        <v>0</v>
      </c>
      <c r="CR24" s="42">
        <f>-IslandModel_1000P[[#This Row],[Input 2 Consumed]]</f>
        <v>0</v>
      </c>
      <c r="CS24" s="42">
        <f>IslandModel_1000P[[#This Row],[Input 3]]</f>
        <v>0</v>
      </c>
      <c r="CT24" s="42">
        <f>-IslandModel_1000P[[#This Row],[Input 3 Consumed]]</f>
        <v>0</v>
      </c>
      <c r="CU24" s="42">
        <f>IslandModel_1000P[[#This Row],[Input 4]]</f>
        <v>0</v>
      </c>
      <c r="CV24" s="42">
        <f>-IslandModel_1000P[[#This Row],[Input 4 Consumed]]</f>
        <v>0</v>
      </c>
      <c r="CW24" s="42">
        <f>IslandModel_1000P[[#This Row],[Input 5]]</f>
        <v>0</v>
      </c>
      <c r="CX24" s="42">
        <f>-IslandModel_1000P[[#This Row],[Input 5 Consumed]]</f>
        <v>0</v>
      </c>
      <c r="CY24" s="42">
        <f>IslandModel_1000P[[#This Row],[Input 6]]</f>
        <v>0</v>
      </c>
      <c r="CZ24" s="42">
        <f>-IslandModel_1000P[[#This Row],[Input 6 Consumed]]</f>
        <v>0</v>
      </c>
      <c r="DA24" s="42">
        <f>IslandModel_1000P[[#This Row],[Input 7]]</f>
        <v>0</v>
      </c>
      <c r="DB24" s="42">
        <f>-IslandModel_1000P[[#This Row],[Input 7 Consumed]]</f>
        <v>0</v>
      </c>
      <c r="DC24" s="42">
        <f>IslandModel_1000P[[#This Row],[Input 8]]</f>
        <v>0</v>
      </c>
      <c r="DD24" s="42">
        <f>-IslandModel_1000P[[#This Row],[Input 8 Consumed]]</f>
        <v>0</v>
      </c>
      <c r="DE24" s="42">
        <f>IslandModel_1000P[[#This Row],[Input 9]]</f>
        <v>0</v>
      </c>
      <c r="DF24" s="42">
        <f>-IslandModel_1000P[[#This Row],[Input 9 Consumed]]</f>
        <v>0</v>
      </c>
      <c r="DG24" s="42">
        <f>IslandModel_1000P[[#This Row],[Input 10]]</f>
        <v>0</v>
      </c>
      <c r="DH24" s="42">
        <f>-IslandModel_1000P[[#This Row],[Input 10 Consumed]]</f>
        <v>0</v>
      </c>
      <c r="DJ24" t="s">
        <v>381</v>
      </c>
      <c r="DK24" s="39">
        <f>SUM(SUMIFS(IslandModel_1000P[Resource 1 Qty],IslandModel_1000P[Resource 1],ResourceAvailable_1000P[[#This Row],[Resource]]))</f>
        <v>202.5</v>
      </c>
      <c r="DL24"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202.5</v>
      </c>
      <c r="DM24" s="39">
        <f>ResourceAvailable_1000P[[#This Row],[Amount Produced]]-ResourceAvailable_1000P[[#This Row],[Amount Consumed]]</f>
        <v>0</v>
      </c>
      <c r="DN24" s="20">
        <f>MAX(0,ResourceAvailable_1000P[[#This Row],[Amount Available for Resident Consumption]]-SUMIFS(ConsumptionModel_1000P[Resource Demand],ConsumptionModel_1000P[Resource],ResourceAvailable_1000P[[#This Row],[Resource]]))</f>
        <v>0</v>
      </c>
    </row>
    <row r="25" spans="2:118" ht="21" x14ac:dyDescent="0.65">
      <c r="B25" s="178">
        <f>ROW()</f>
        <v>25</v>
      </c>
      <c r="C25" s="70">
        <f>INDEX(ConsumptionModelInputs_1000P[Quantity],MATCH(ConsumptionModel_1000P[[#This Row],[Building]],ConsumptionModelInputs_1000P[Building],0))</f>
        <v>0</v>
      </c>
      <c r="D25" s="179" t="s">
        <v>403</v>
      </c>
      <c r="E25" s="179" t="s">
        <v>63</v>
      </c>
      <c r="F25" s="191" t="str">
        <f>IF(OR(ISBLANK(ConsumptionModel_1000P[[#This Row],[Building]]),ISBLANK(ConsumptionModel_1000P[[#This Row],[Resource]]))," - ",INDEX(Consumption[Type],MATCH(ConsumptionModel_1000P[[#This Row],[LookupValue]],Consumption[LookupValue],0)))</f>
        <v>Luxury</v>
      </c>
      <c r="G25" s="191" t="str">
        <f>IF(OR(ISBLANK(ConsumptionModel_1000P[[#This Row],[Building]]),ISBLANK(ConsumptionModel_1000P[[#This Row],[Resource]]))," - ",ConsumptionModel_1000P[[#This Row],[Building]]&amp;" - "&amp;ConsumptionModel_1000P[[#This Row],[Resource]])</f>
        <v>Pioneer's Hut (only consuming fish) - Fish</v>
      </c>
      <c r="H25" s="62">
        <f>ConsumptionModel_1000P[[#This Row],[Quantity]]*INDEX(Consumption[Consumption/person/h],MATCH(ConsumptionModel_1000P[[#This Row],[LookupValue]],Consumption[LookupValue],0))*IFERROR(INDEX(ResidentBuildings[Residents],MATCH(ConsumptionModel_1000P[[#This Row],[Building]],ResidentBuildings[Building],0)),0)</f>
        <v>0</v>
      </c>
      <c r="I25" s="62" t="str">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
      </c>
      <c r="J25" s="57" t="str">
        <f>IF(ConsumptionModel_1000P[[#This Row],[Quantity]]=0,"",IF(AND(ConsumptionModel_1000P[[#This Row],[Resource Demand]]=0,ConsumptionModel_1000P[[#This Row],[Resource Available]]&gt;0),1,MIN(1,IFERROR(ConsumptionModel_1000P[[#This Row],[Resource Available]]/ConsumptionModel_1000P[[#This Row],[Resource Demand]],0))))</f>
        <v/>
      </c>
      <c r="K25" s="180" t="str">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
      </c>
      <c r="N25" s="7" t="s">
        <v>838</v>
      </c>
      <c r="O25" s="134" t="s">
        <v>72</v>
      </c>
      <c r="P25" s="47">
        <f>SUMIFS(ResourceAvailable_1000P[Amount Produced],ResourceAvailable_1000P[Resource],ResourceMonitor_1000P[[#This Row],[Resource]])</f>
        <v>135</v>
      </c>
      <c r="Q25" s="47">
        <f>SUMIFS(ResourceAvailable_1000P[Amount Consumed],ResourceAvailable_1000P[Resource],ResourceMonitor_1000P[[#This Row],[Resource]])</f>
        <v>0</v>
      </c>
      <c r="R25" s="47">
        <f>SUMIFS(ResourceAvailable_1000P[Amount Available for Resident Consumption],ResourceAvailable_1000P[Resource],ResourceMonitor_1000P[[#This Row],[Resource]])</f>
        <v>135</v>
      </c>
      <c r="S25" s="39">
        <f>MAX(0,ResourceMonitor_1000P[[#This Row],[Amount Available for Resident Consumption]]-SUMIFS(ConsumptionModel_1000P[Resource Demand],ConsumptionModel_1000P[Resource],ResourceMonitor_1000P[[#This Row],[Resource]]))</f>
        <v>0</v>
      </c>
      <c r="T25" s="39">
        <f>MIN(0,ResourceMonitor_1000P[[#This Row],[Amount Available for Resident Consumption]]-SUMIFS(ConsumptionModel_1000P[Resource Demand],ConsumptionModel_1000P[Resource],ResourceMonitor_1000P[[#This Row],[Resource]]))</f>
        <v>0</v>
      </c>
      <c r="U25" s="122">
        <f>IFERROR(INDEX(#REF!,MATCH(ResourceMonitor_1000P[[#This Row],[Resource]],#REF!,0)),0)</f>
        <v>0</v>
      </c>
      <c r="V25" s="194">
        <f>IFERROR(ResourceMonitor_1000P[[#This Row],[Amount Produced]]/ResourceMonitor_1000P[[#This Row],[Production Target]],0)</f>
        <v>0</v>
      </c>
      <c r="W25" s="133"/>
      <c r="X25" s="47">
        <f>IF(ResourceMonitor_1000P[[#This Row],[Ignore shipping needs?]]="Yes",0,ROUNDUP(ResourceMonitor_1000P[[#This Row],[Production Target]]/INDEX(ShipRequirementCalculator[Cargo capacity/h (return, 50% empty)],MATCH($X$15,ShipRequirementCalculator[Ship],0)),0))</f>
        <v>0</v>
      </c>
      <c r="Y25" s="47">
        <f>IF(ResourceMonitor_1000P[[#This Row],[Ignore shipping needs?]]="Yes",0,ROUNDUP(ResourceMonitor_1000P[[#This Row],[Production Target]]/INDEX(ShipRequirementCalculator[Cargo capacity/h (return, 50% empty)],MATCH($Y$15,ShipRequirementCalculator[Ship],0)),0))</f>
        <v>0</v>
      </c>
      <c r="Z25" s="47">
        <f>IF(ResourceMonitor_1000P[[#This Row],[Ignore shipping needs?]]="Yes",0,ROUNDUP(ResourceMonitor_1000P[[#This Row],[Production Target]]/INDEX(ShipRequirementCalculator[Cargo capacity/h (return, 50% empty)],MATCH($Z$15,ShipRequirementCalculator[Ship],0)),0))</f>
        <v>0</v>
      </c>
      <c r="AA25" s="124"/>
      <c r="AC25" s="102" t="s">
        <v>63</v>
      </c>
      <c r="AD25" s="36">
        <f>ROW()</f>
        <v>25</v>
      </c>
      <c r="AE25" s="74">
        <v>24</v>
      </c>
      <c r="AF25" s="18" t="s">
        <v>62</v>
      </c>
      <c r="AG25" s="18"/>
      <c r="AH25" s="74">
        <v>24</v>
      </c>
      <c r="AI25" s="156">
        <f>IFERROR(IslandModel_1000P[[#This Row],[Quantity]]/IslandModel_1000P[[#This Row],[Target Quantity]],0)</f>
        <v>1</v>
      </c>
      <c r="AJ25" s="20" t="str">
        <f>IFERROR(INDEX(Production[Resource Produced],MATCH(IslandModel_1000P[[#This Row],[Building]],Production[Building],0)),"")</f>
        <v>Fish</v>
      </c>
      <c r="AK25" s="14">
        <f>IFERROR(IslandModel_1000P[[#This Row],[Quantity]]*INDEX(Production[Production in 1h],MATCH(IslandModel_1000P[[#This Row],[Building]],Production[Building],0))*IslandModel_1000P[[#This Row],[Input Consumption Multiplier]],0)</f>
        <v>1080</v>
      </c>
      <c r="AL25" s="90">
        <f>100%</f>
        <v>1</v>
      </c>
      <c r="AM25"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25" s="35" t="str">
        <f>IFERROR(INDEX(Production[Input 1],MATCH(IslandModel_1000P[[#This Row],[Building]],Production[Building],0)),"")</f>
        <v>Land tile</v>
      </c>
      <c r="AO25" s="18"/>
      <c r="AP25" s="41">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24</v>
      </c>
      <c r="AQ25"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2870</v>
      </c>
      <c r="AR25" s="41">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24</v>
      </c>
      <c r="AS25" s="35" t="str">
        <f>IFERROR(INDEX(Production[Input 2],MATCH(IslandModel_1000P[[#This Row],[Building]],Production[Building],0)),"")</f>
        <v>Water tile</v>
      </c>
      <c r="AT25" s="18"/>
      <c r="AU25"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96</v>
      </c>
      <c r="AV25"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354</v>
      </c>
      <c r="AW25"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96</v>
      </c>
      <c r="AX25" s="35">
        <f>IFERROR(INDEX(Production[Input 3],MATCH(IslandModel_1000P[[#This Row],[Building]],Production[Building],0)),"")</f>
        <v>0</v>
      </c>
      <c r="AY25" s="18"/>
      <c r="AZ25"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25"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25"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25" s="35">
        <f>IFERROR(INDEX(Production[Input 4],MATCH(IslandModel_1000P[[#This Row],[Building]],Production[Building],0)),"")</f>
        <v>0</v>
      </c>
      <c r="BD25" s="18"/>
      <c r="BE25"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25"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25" s="41">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25" s="35">
        <f>IFERROR(INDEX(Production[Input 5],MATCH(IslandModel_1000P[[#This Row],[Building]],Production[Building],0)),"")</f>
        <v>0</v>
      </c>
      <c r="BI25" s="18"/>
      <c r="BJ25"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25"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25" s="41">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25" s="35">
        <f>IFERROR(INDEX(Production[Input 6],MATCH(IslandModel_1000P[[#This Row],[Building]],Production[Building],0)),"")</f>
        <v>0</v>
      </c>
      <c r="BN25" s="18"/>
      <c r="BO25"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25"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25" s="41">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25" s="35">
        <f>IFERROR(INDEX(Production[Input 7],MATCH(IslandModel_1000P[[#This Row],[Building]],Production[Building],0)),"")</f>
        <v>0</v>
      </c>
      <c r="BS25" s="18"/>
      <c r="BT25"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25"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25" s="41">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25" s="35">
        <f>IFERROR(INDEX(Production[Input 8],MATCH(IslandModel_1000P[[#This Row],[Building]],Production[Building],0)),"")</f>
        <v>0</v>
      </c>
      <c r="BX25" s="18"/>
      <c r="BY25"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25"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25" s="41">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25" s="35">
        <f>IFERROR(INDEX(Production[Input 9],MATCH(IslandModel_1000P[[#This Row],[Building]],Production[Building],0)),"")</f>
        <v>0</v>
      </c>
      <c r="CC25" s="18"/>
      <c r="CD25"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25"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25" s="41">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25" s="35">
        <f>IFERROR(INDEX(Production[Input 10],MATCH(IslandModel_1000P[[#This Row],[Building]],Production[Building],0)),"")</f>
        <v>0</v>
      </c>
      <c r="CH25" s="18"/>
      <c r="CI25"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25"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25" s="41">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25" s="48">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25" s="34" t="str">
        <f>IslandModel_1000P[[#This Row],[Resource Produced]]</f>
        <v>Fish</v>
      </c>
      <c r="CN25" s="42">
        <f>IslandModel_1000P[[#This Row],[Amount produced/h]]</f>
        <v>1080</v>
      </c>
      <c r="CO25" s="42" t="str">
        <f>IslandModel_1000P[[#This Row],[Input 1]]</f>
        <v>Land tile</v>
      </c>
      <c r="CP25" s="42">
        <f>-IslandModel_1000P[[#This Row],[Input 1 Consumed]]</f>
        <v>-24</v>
      </c>
      <c r="CQ25" s="42" t="str">
        <f>IslandModel_1000P[[#This Row],[Input 2]]</f>
        <v>Water tile</v>
      </c>
      <c r="CR25" s="42">
        <f>-IslandModel_1000P[[#This Row],[Input 2 Consumed]]</f>
        <v>-96</v>
      </c>
      <c r="CS25" s="42">
        <f>IslandModel_1000P[[#This Row],[Input 3]]</f>
        <v>0</v>
      </c>
      <c r="CT25" s="42">
        <f>-IslandModel_1000P[[#This Row],[Input 3 Consumed]]</f>
        <v>0</v>
      </c>
      <c r="CU25" s="42">
        <f>IslandModel_1000P[[#This Row],[Input 4]]</f>
        <v>0</v>
      </c>
      <c r="CV25" s="42">
        <f>-IslandModel_1000P[[#This Row],[Input 4 Consumed]]</f>
        <v>0</v>
      </c>
      <c r="CW25" s="42">
        <f>IslandModel_1000P[[#This Row],[Input 5]]</f>
        <v>0</v>
      </c>
      <c r="CX25" s="42">
        <f>-IslandModel_1000P[[#This Row],[Input 5 Consumed]]</f>
        <v>0</v>
      </c>
      <c r="CY25" s="42">
        <f>IslandModel_1000P[[#This Row],[Input 6]]</f>
        <v>0</v>
      </c>
      <c r="CZ25" s="42">
        <f>-IslandModel_1000P[[#This Row],[Input 6 Consumed]]</f>
        <v>0</v>
      </c>
      <c r="DA25" s="42">
        <f>IslandModel_1000P[[#This Row],[Input 7]]</f>
        <v>0</v>
      </c>
      <c r="DB25" s="42">
        <f>-IslandModel_1000P[[#This Row],[Input 7 Consumed]]</f>
        <v>0</v>
      </c>
      <c r="DC25" s="42">
        <f>IslandModel_1000P[[#This Row],[Input 8]]</f>
        <v>0</v>
      </c>
      <c r="DD25" s="42">
        <f>-IslandModel_1000P[[#This Row],[Input 8 Consumed]]</f>
        <v>0</v>
      </c>
      <c r="DE25" s="42">
        <f>IslandModel_1000P[[#This Row],[Input 9]]</f>
        <v>0</v>
      </c>
      <c r="DF25" s="42">
        <f>-IslandModel_1000P[[#This Row],[Input 9 Consumed]]</f>
        <v>0</v>
      </c>
      <c r="DG25" s="42">
        <f>IslandModel_1000P[[#This Row],[Input 10]]</f>
        <v>0</v>
      </c>
      <c r="DH25" s="42">
        <f>-IslandModel_1000P[[#This Row],[Input 10 Consumed]]</f>
        <v>0</v>
      </c>
      <c r="DJ25" t="s">
        <v>146</v>
      </c>
      <c r="DK25" s="39">
        <f>SUM(SUMIFS(IslandModel_1000P[Resource 1 Qty],IslandModel_1000P[Resource 1],ResourceAvailable_1000P[[#This Row],[Resource]]))</f>
        <v>320</v>
      </c>
      <c r="DL25"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25" s="39">
        <f>ResourceAvailable_1000P[[#This Row],[Amount Produced]]-ResourceAvailable_1000P[[#This Row],[Amount Consumed]]</f>
        <v>320</v>
      </c>
      <c r="DN25" s="20">
        <f>MAX(0,ResourceAvailable_1000P[[#This Row],[Amount Available for Resident Consumption]]-SUMIFS(ConsumptionModel_1000P[Resource Demand],ConsumptionModel_1000P[Resource],ResourceAvailable_1000P[[#This Row],[Resource]]))</f>
        <v>3.1999999999999886</v>
      </c>
    </row>
    <row r="26" spans="2:118" ht="21.4" thickBot="1" x14ac:dyDescent="0.7">
      <c r="B26" s="181">
        <f>ROW()</f>
        <v>26</v>
      </c>
      <c r="C26" s="182">
        <f>INDEX(ConsumptionModelInputs_1000P[Quantity],MATCH(ConsumptionModel_1000P[[#This Row],[Building]],ConsumptionModelInputs_1000P[Building],0))</f>
        <v>0</v>
      </c>
      <c r="D26" s="183" t="s">
        <v>403</v>
      </c>
      <c r="E26" s="183" t="s">
        <v>66</v>
      </c>
      <c r="F26" s="192" t="str">
        <f>IF(OR(ISBLANK(ConsumptionModel_1000P[[#This Row],[Building]]),ISBLANK(ConsumptionModel_1000P[[#This Row],[Resource]]))," - ",INDEX(Consumption[Type],MATCH(ConsumptionModel_1000P[[#This Row],[LookupValue]],Consumption[LookupValue],0)))</f>
        <v>Luxury</v>
      </c>
      <c r="G26" s="185" t="str">
        <f>IF(OR(ISBLANK(ConsumptionModel_1000P[[#This Row],[Building]]),ISBLANK(ConsumptionModel_1000P[[#This Row],[Resource]]))," - ",ConsumptionModel_1000P[[#This Row],[Building]]&amp;" - "&amp;ConsumptionModel_1000P[[#This Row],[Resource]])</f>
        <v>Pioneer's Hut (only consuming fish) - Schnapps</v>
      </c>
      <c r="H26" s="186">
        <f>ConsumptionModel_1000P[[#This Row],[Quantity]]*INDEX(Consumption[Consumption/person/h],MATCH(ConsumptionModel_1000P[[#This Row],[LookupValue]],Consumption[LookupValue],0))*IFERROR(INDEX(ResidentBuildings[Residents],MATCH(ConsumptionModel_1000P[[#This Row],[Building]],ResidentBuildings[Building],0)),0)</f>
        <v>0</v>
      </c>
      <c r="I26" s="186" t="str">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
      </c>
      <c r="J26" s="193" t="str">
        <f>IF(ConsumptionModel_1000P[[#This Row],[Quantity]]=0,"",IF(AND(ConsumptionModel_1000P[[#This Row],[Resource Demand]]=0,ConsumptionModel_1000P[[#This Row],[Resource Available]]&gt;0),1,MIN(1,IFERROR(ConsumptionModel_1000P[[#This Row],[Resource Available]]/ConsumptionModel_1000P[[#This Row],[Resource Demand]],0))))</f>
        <v/>
      </c>
      <c r="K26" s="188" t="str">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
      </c>
      <c r="O26" s="134" t="s">
        <v>331</v>
      </c>
      <c r="P26" s="47">
        <f>SUMIFS(ResourceAvailable_1000P[Amount Produced],ResourceAvailable_1000P[Resource],ResourceMonitor_1000P[[#This Row],[Resource]])</f>
        <v>2</v>
      </c>
      <c r="Q26" s="47">
        <f>SUMIFS(ResourceAvailable_1000P[Amount Consumed],ResourceAvailable_1000P[Resource],ResourceMonitor_1000P[[#This Row],[Resource]])</f>
        <v>0</v>
      </c>
      <c r="R26" s="47">
        <f>SUMIFS(ResourceAvailable_1000P[Amount Available for Resident Consumption],ResourceAvailable_1000P[Resource],ResourceMonitor_1000P[[#This Row],[Resource]])</f>
        <v>2</v>
      </c>
      <c r="S26" s="39">
        <f>MAX(0,ResourceMonitor_1000P[[#This Row],[Amount Available for Resident Consumption]]-SUMIFS(ConsumptionModel_1000P[Resource Demand],ConsumptionModel_1000P[Resource],ResourceMonitor_1000P[[#This Row],[Resource]]))</f>
        <v>2</v>
      </c>
      <c r="T26" s="39">
        <f>MIN(0,ResourceMonitor_1000P[[#This Row],[Amount Available for Resident Consumption]]-SUMIFS(ConsumptionModel_1000P[Resource Demand],ConsumptionModel_1000P[Resource],ResourceMonitor_1000P[[#This Row],[Resource]]))</f>
        <v>0</v>
      </c>
      <c r="U26" s="122">
        <f>IFERROR(INDEX(#REF!,MATCH(ResourceMonitor_1000P[[#This Row],[Resource]],#REF!,0)),0)</f>
        <v>0</v>
      </c>
      <c r="V26" s="194">
        <f>IFERROR(ResourceMonitor_1000P[[#This Row],[Amount Produced]]/ResourceMonitor_1000P[[#This Row],[Production Target]],0)</f>
        <v>0</v>
      </c>
      <c r="W26" s="133" t="s">
        <v>242</v>
      </c>
      <c r="X26" s="47">
        <f>IF(ResourceMonitor_1000P[[#This Row],[Ignore shipping needs?]]="Yes",0,ROUNDUP(ResourceMonitor_1000P[[#This Row],[Production Target]]/INDEX(ShipRequirementCalculator[Cargo capacity/h (return, 50% empty)],MATCH($X$15,ShipRequirementCalculator[Ship],0)),0))</f>
        <v>0</v>
      </c>
      <c r="Y26" s="47">
        <f>IF(ResourceMonitor_1000P[[#This Row],[Ignore shipping needs?]]="Yes",0,ROUNDUP(ResourceMonitor_1000P[[#This Row],[Production Target]]/INDEX(ShipRequirementCalculator[Cargo capacity/h (return, 50% empty)],MATCH($Y$15,ShipRequirementCalculator[Ship],0)),0))</f>
        <v>0</v>
      </c>
      <c r="Z26" s="47">
        <f>IF(ResourceMonitor_1000P[[#This Row],[Ignore shipping needs?]]="Yes",0,ROUNDUP(ResourceMonitor_1000P[[#This Row],[Production Target]]/INDEX(ShipRequirementCalculator[Cargo capacity/h (return, 50% empty)],MATCH($Z$15,ShipRequirementCalculator[Ship],0)),0))</f>
        <v>0</v>
      </c>
      <c r="AA26" s="124"/>
      <c r="AC26" s="102" t="s">
        <v>66</v>
      </c>
      <c r="AD26" s="36">
        <f>ROW()</f>
        <v>26</v>
      </c>
      <c r="AE26" s="74">
        <f>AE27*4</f>
        <v>72</v>
      </c>
      <c r="AF26" s="18" t="s">
        <v>65</v>
      </c>
      <c r="AG26" s="18"/>
      <c r="AH26" s="74">
        <f>AH27*4</f>
        <v>72</v>
      </c>
      <c r="AI26" s="156">
        <f>IFERROR(IslandModel_1000P[[#This Row],[Quantity]]/IslandModel_1000P[[#This Row],[Target Quantity]],0)</f>
        <v>1</v>
      </c>
      <c r="AJ26" s="20" t="str">
        <f>IFERROR(INDEX(Production[Resource Produced],MATCH(IslandModel_1000P[[#This Row],[Building]],Production[Building],0)),"")</f>
        <v>Potato Field</v>
      </c>
      <c r="AK26" s="14">
        <f>IFERROR(IslandModel_1000P[[#This Row],[Quantity]]*INDEX(Production[Production in 1h],MATCH(IslandModel_1000P[[#This Row],[Building]],Production[Building],0))*IslandModel_1000P[[#This Row],[Input Consumption Multiplier]],0)</f>
        <v>72</v>
      </c>
      <c r="AL26" s="90">
        <f>100%</f>
        <v>1</v>
      </c>
      <c r="AM26"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26" s="35" t="str">
        <f>IFERROR(INDEX(Production[Input 1],MATCH(IslandModel_1000P[[#This Row],[Building]],Production[Building],0)),"")</f>
        <v>Land tile</v>
      </c>
      <c r="AO26" s="18"/>
      <c r="AP26" s="41">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72</v>
      </c>
      <c r="AQ26"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2846</v>
      </c>
      <c r="AR26" s="41">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72</v>
      </c>
      <c r="AS26" s="35">
        <f>IFERROR(INDEX(Production[Input 2],MATCH(IslandModel_1000P[[#This Row],[Building]],Production[Building],0)),"")</f>
        <v>0</v>
      </c>
      <c r="AT26" s="18"/>
      <c r="AU26"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26"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26"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26" s="35">
        <f>IFERROR(INDEX(Production[Input 3],MATCH(IslandModel_1000P[[#This Row],[Building]],Production[Building],0)),"")</f>
        <v>0</v>
      </c>
      <c r="AY26" s="18"/>
      <c r="AZ26"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26"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26"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26" s="35">
        <f>IFERROR(INDEX(Production[Input 4],MATCH(IslandModel_1000P[[#This Row],[Building]],Production[Building],0)),"")</f>
        <v>0</v>
      </c>
      <c r="BD26" s="18"/>
      <c r="BE26"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26"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26" s="41">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26" s="35">
        <f>IFERROR(INDEX(Production[Input 5],MATCH(IslandModel_1000P[[#This Row],[Building]],Production[Building],0)),"")</f>
        <v>0</v>
      </c>
      <c r="BI26" s="18"/>
      <c r="BJ26"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26"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26" s="41">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26" s="35">
        <f>IFERROR(INDEX(Production[Input 6],MATCH(IslandModel_1000P[[#This Row],[Building]],Production[Building],0)),"")</f>
        <v>0</v>
      </c>
      <c r="BN26" s="18"/>
      <c r="BO26"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26"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26" s="41">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26" s="35">
        <f>IFERROR(INDEX(Production[Input 7],MATCH(IslandModel_1000P[[#This Row],[Building]],Production[Building],0)),"")</f>
        <v>0</v>
      </c>
      <c r="BS26" s="18"/>
      <c r="BT26"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26"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26" s="41">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26" s="35">
        <f>IFERROR(INDEX(Production[Input 8],MATCH(IslandModel_1000P[[#This Row],[Building]],Production[Building],0)),"")</f>
        <v>0</v>
      </c>
      <c r="BX26" s="18"/>
      <c r="BY26"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26"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26" s="41">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26" s="35">
        <f>IFERROR(INDEX(Production[Input 9],MATCH(IslandModel_1000P[[#This Row],[Building]],Production[Building],0)),"")</f>
        <v>0</v>
      </c>
      <c r="CC26" s="18"/>
      <c r="CD26"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26"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26" s="41">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26" s="35">
        <f>IFERROR(INDEX(Production[Input 10],MATCH(IslandModel_1000P[[#This Row],[Building]],Production[Building],0)),"")</f>
        <v>0</v>
      </c>
      <c r="CH26" s="18"/>
      <c r="CI26"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26"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26" s="41">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26" s="48">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26" s="34" t="str">
        <f>IslandModel_1000P[[#This Row],[Resource Produced]]</f>
        <v>Potato Field</v>
      </c>
      <c r="CN26" s="42">
        <f>IslandModel_1000P[[#This Row],[Amount produced/h]]</f>
        <v>72</v>
      </c>
      <c r="CO26" s="42" t="str">
        <f>IslandModel_1000P[[#This Row],[Input 1]]</f>
        <v>Land tile</v>
      </c>
      <c r="CP26" s="42">
        <f>-IslandModel_1000P[[#This Row],[Input 1 Consumed]]</f>
        <v>-72</v>
      </c>
      <c r="CQ26" s="42">
        <f>IslandModel_1000P[[#This Row],[Input 2]]</f>
        <v>0</v>
      </c>
      <c r="CR26" s="42">
        <f>-IslandModel_1000P[[#This Row],[Input 2 Consumed]]</f>
        <v>0</v>
      </c>
      <c r="CS26" s="42">
        <f>IslandModel_1000P[[#This Row],[Input 3]]</f>
        <v>0</v>
      </c>
      <c r="CT26" s="42">
        <f>-IslandModel_1000P[[#This Row],[Input 3 Consumed]]</f>
        <v>0</v>
      </c>
      <c r="CU26" s="42">
        <f>IslandModel_1000P[[#This Row],[Input 4]]</f>
        <v>0</v>
      </c>
      <c r="CV26" s="42">
        <f>-IslandModel_1000P[[#This Row],[Input 4 Consumed]]</f>
        <v>0</v>
      </c>
      <c r="CW26" s="42">
        <f>IslandModel_1000P[[#This Row],[Input 5]]</f>
        <v>0</v>
      </c>
      <c r="CX26" s="42">
        <f>-IslandModel_1000P[[#This Row],[Input 5 Consumed]]</f>
        <v>0</v>
      </c>
      <c r="CY26" s="42">
        <f>IslandModel_1000P[[#This Row],[Input 6]]</f>
        <v>0</v>
      </c>
      <c r="CZ26" s="42">
        <f>-IslandModel_1000P[[#This Row],[Input 6 Consumed]]</f>
        <v>0</v>
      </c>
      <c r="DA26" s="42">
        <f>IslandModel_1000P[[#This Row],[Input 7]]</f>
        <v>0</v>
      </c>
      <c r="DB26" s="42">
        <f>-IslandModel_1000P[[#This Row],[Input 7 Consumed]]</f>
        <v>0</v>
      </c>
      <c r="DC26" s="42">
        <f>IslandModel_1000P[[#This Row],[Input 8]]</f>
        <v>0</v>
      </c>
      <c r="DD26" s="42">
        <f>-IslandModel_1000P[[#This Row],[Input 8 Consumed]]</f>
        <v>0</v>
      </c>
      <c r="DE26" s="42">
        <f>IslandModel_1000P[[#This Row],[Input 9]]</f>
        <v>0</v>
      </c>
      <c r="DF26" s="42">
        <f>-IslandModel_1000P[[#This Row],[Input 9 Consumed]]</f>
        <v>0</v>
      </c>
      <c r="DG26" s="42">
        <f>IslandModel_1000P[[#This Row],[Input 10]]</f>
        <v>0</v>
      </c>
      <c r="DH26" s="42">
        <f>-IslandModel_1000P[[#This Row],[Input 10 Consumed]]</f>
        <v>0</v>
      </c>
      <c r="DJ26" t="s">
        <v>384</v>
      </c>
      <c r="DK26" s="39">
        <f>SUM(SUMIFS(IslandModel_1000P[Resource 1 Qty],IslandModel_1000P[Resource 1],ResourceAvailable_1000P[[#This Row],[Resource]]))</f>
        <v>15</v>
      </c>
      <c r="DL26"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15</v>
      </c>
      <c r="DM26" s="39">
        <f>ResourceAvailable_1000P[[#This Row],[Amount Produced]]-ResourceAvailable_1000P[[#This Row],[Amount Consumed]]</f>
        <v>0</v>
      </c>
      <c r="DN26" s="20">
        <f>MAX(0,ResourceAvailable_1000P[[#This Row],[Amount Available for Resident Consumption]]-SUMIFS(ConsumptionModel_1000P[Resource Demand],ConsumptionModel_1000P[Resource],ResourceAvailable_1000P[[#This Row],[Resource]]))</f>
        <v>0</v>
      </c>
    </row>
    <row r="27" spans="2:118" ht="21" x14ac:dyDescent="0.65">
      <c r="B27" s="170">
        <f>ROW()</f>
        <v>27</v>
      </c>
      <c r="C27" s="171">
        <f>INDEX(ConsumptionModelInputs_1000P[Quantity],MATCH(ConsumptionModel_1000P[[#This Row],[Building]],ConsumptionModelInputs_1000P[Building],0))</f>
        <v>10</v>
      </c>
      <c r="D27" s="172" t="s">
        <v>56</v>
      </c>
      <c r="E27" s="172" t="s">
        <v>330</v>
      </c>
      <c r="F27" s="189" t="str">
        <f>IF(OR(ISBLANK(ConsumptionModel_1000P[[#This Row],[Building]]),ISBLANK(ConsumptionModel_1000P[[#This Row],[Resource]]))," - ",INDEX(Consumption[Type],MATCH(ConsumptionModel_1000P[[#This Row],[LookupValue]],Consumption[LookupValue],0)))</f>
        <v>Need</v>
      </c>
      <c r="G27" s="174" t="str">
        <f>IF(OR(ISBLANK(ConsumptionModel_1000P[[#This Row],[Building]]),ISBLANK(ConsumptionModel_1000P[[#This Row],[Resource]]))," - ",ConsumptionModel_1000P[[#This Row],[Building]]&amp;" - "&amp;ConsumptionModel_1000P[[#This Row],[Resource]])</f>
        <v>Colonist's House - Water</v>
      </c>
      <c r="H27" s="175">
        <f>ConsumptionModel_1000P[[#This Row],[Quantity]]*INDEX(Consumption[Consumption/person/h],MATCH(ConsumptionModel_1000P[[#This Row],[LookupValue]],Consumption[LookupValue],0))*IFERROR(INDEX(ResidentBuildings[Residents],MATCH(ConsumptionModel_1000P[[#This Row],[Building]],ResidentBuildings[Building],0)),0)</f>
        <v>0</v>
      </c>
      <c r="I27" s="175">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4</v>
      </c>
      <c r="J27" s="190">
        <f>IF(ConsumptionModel_1000P[[#This Row],[Quantity]]=0,"",IF(AND(ConsumptionModel_1000P[[#This Row],[Resource Demand]]=0,ConsumptionModel_1000P[[#This Row],[Resource Available]]&gt;0),1,MIN(1,IFERROR(ConsumptionModel_1000P[[#This Row],[Resource Available]]/ConsumptionModel_1000P[[#This Row],[Resource Demand]],0))))</f>
        <v>1</v>
      </c>
      <c r="K27" s="177">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N27" s="7" t="s">
        <v>839</v>
      </c>
      <c r="O27" s="196" t="s">
        <v>367</v>
      </c>
      <c r="P27" s="71">
        <f>SUMIFS(ResourceAvailable_1000P[Amount Produced],ResourceAvailable_1000P[Resource],ResourceMonitor_1000P[[#This Row],[Resource]])</f>
        <v>720</v>
      </c>
      <c r="Q27" s="71">
        <f>SUMIFS(ResourceAvailable_1000P[Amount Consumed],ResourceAvailable_1000P[Resource],ResourceMonitor_1000P[[#This Row],[Resource]])</f>
        <v>660</v>
      </c>
      <c r="R27" s="71">
        <f>SUMIFS(ResourceAvailable_1000P[Amount Available for Resident Consumption],ResourceAvailable_1000P[Resource],ResourceMonitor_1000P[[#This Row],[Resource]])</f>
        <v>60</v>
      </c>
      <c r="S27" s="39">
        <f>MAX(0,ResourceMonitor_1000P[[#This Row],[Amount Available for Resident Consumption]]-SUMIFS(ConsumptionModel_1000P[Resource Demand],ConsumptionModel_1000P[Resource],ResourceMonitor_1000P[[#This Row],[Resource]]))</f>
        <v>15</v>
      </c>
      <c r="T27" s="39">
        <f>MIN(0,ResourceMonitor_1000P[[#This Row],[Amount Available for Resident Consumption]]-SUMIFS(ConsumptionModel_1000P[Resource Demand],ConsumptionModel_1000P[Resource],ResourceMonitor_1000P[[#This Row],[Resource]]))</f>
        <v>0</v>
      </c>
      <c r="U27" s="122">
        <f>IFERROR(INDEX(#REF!,MATCH(ResourceMonitor_1000P[[#This Row],[Resource]],#REF!,0)),0)</f>
        <v>0</v>
      </c>
      <c r="V27" s="194">
        <f>IFERROR(ResourceMonitor_1000P[[#This Row],[Amount Produced]]/ResourceMonitor_1000P[[#This Row],[Production Target]],0)</f>
        <v>0</v>
      </c>
      <c r="W27" s="133"/>
      <c r="X27" s="47">
        <f>IF(ResourceMonitor_1000P[[#This Row],[Ignore shipping needs?]]="Yes",0,ROUNDUP(ResourceMonitor_1000P[[#This Row],[Production Target]]/INDEX(ShipRequirementCalculator[Cargo capacity/h (return, 50% empty)],MATCH($X$15,ShipRequirementCalculator[Ship],0)),0))</f>
        <v>0</v>
      </c>
      <c r="Y27" s="47">
        <f>IF(ResourceMonitor_1000P[[#This Row],[Ignore shipping needs?]]="Yes",0,ROUNDUP(ResourceMonitor_1000P[[#This Row],[Production Target]]/INDEX(ShipRequirementCalculator[Cargo capacity/h (return, 50% empty)],MATCH($Y$15,ShipRequirementCalculator[Ship],0)),0))</f>
        <v>0</v>
      </c>
      <c r="Z27" s="47">
        <f>IF(ResourceMonitor_1000P[[#This Row],[Ignore shipping needs?]]="Yes",0,ROUNDUP(ResourceMonitor_1000P[[#This Row],[Production Target]]/INDEX(ShipRequirementCalculator[Cargo capacity/h (return, 50% empty)],MATCH($Z$15,ShipRequirementCalculator[Ship],0)),0))</f>
        <v>0</v>
      </c>
      <c r="AA27" s="124"/>
      <c r="AC27" s="102" t="s">
        <v>66</v>
      </c>
      <c r="AD27" s="36">
        <f>ROW()</f>
        <v>27</v>
      </c>
      <c r="AE27" s="74">
        <v>18</v>
      </c>
      <c r="AF27" s="18" t="s">
        <v>67</v>
      </c>
      <c r="AG27" s="18"/>
      <c r="AH27" s="74">
        <v>18</v>
      </c>
      <c r="AI27" s="156">
        <f>IFERROR(IslandModel_1000P[[#This Row],[Quantity]]/IslandModel_1000P[[#This Row],[Target Quantity]],0)</f>
        <v>1</v>
      </c>
      <c r="AJ27" s="20" t="str">
        <f>IFERROR(INDEX(Production[Resource Produced],MATCH(IslandModel_1000P[[#This Row],[Building]],Production[Building],0)),"")</f>
        <v>Schnapps</v>
      </c>
      <c r="AK27" s="14">
        <f>IFERROR(IslandModel_1000P[[#This Row],[Quantity]]*INDEX(Production[Production in 1h],MATCH(IslandModel_1000P[[#This Row],[Building]],Production[Building],0))*IslandModel_1000P[[#This Row],[Input Consumption Multiplier]],0)</f>
        <v>1080</v>
      </c>
      <c r="AL27" s="90">
        <f>100%</f>
        <v>1</v>
      </c>
      <c r="AM27"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27" s="35" t="str">
        <f>IFERROR(INDEX(Production[Input 1],MATCH(IslandModel_1000P[[#This Row],[Building]],Production[Building],0)),"")</f>
        <v>Land tile</v>
      </c>
      <c r="AO27" s="18"/>
      <c r="AP27" s="41">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18</v>
      </c>
      <c r="AQ27"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2774</v>
      </c>
      <c r="AR27" s="41">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18</v>
      </c>
      <c r="AS27" s="35" t="str">
        <f>IFERROR(INDEX(Production[Input 2],MATCH(IslandModel_1000P[[#This Row],[Building]],Production[Building],0)),"")</f>
        <v>Potato Field</v>
      </c>
      <c r="AT27" s="18"/>
      <c r="AU27"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72</v>
      </c>
      <c r="AV27"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72</v>
      </c>
      <c r="AW27"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72</v>
      </c>
      <c r="AX27" s="35">
        <f>IFERROR(INDEX(Production[Input 3],MATCH(IslandModel_1000P[[#This Row],[Building]],Production[Building],0)),"")</f>
        <v>0</v>
      </c>
      <c r="AY27" s="18"/>
      <c r="AZ27"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27"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27"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27" s="35">
        <f>IFERROR(INDEX(Production[Input 4],MATCH(IslandModel_1000P[[#This Row],[Building]],Production[Building],0)),"")</f>
        <v>0</v>
      </c>
      <c r="BD27" s="18"/>
      <c r="BE27"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27"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27" s="41">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27" s="35">
        <f>IFERROR(INDEX(Production[Input 5],MATCH(IslandModel_1000P[[#This Row],[Building]],Production[Building],0)),"")</f>
        <v>0</v>
      </c>
      <c r="BI27" s="18"/>
      <c r="BJ27"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27"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27" s="41">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27" s="35">
        <f>IFERROR(INDEX(Production[Input 6],MATCH(IslandModel_1000P[[#This Row],[Building]],Production[Building],0)),"")</f>
        <v>0</v>
      </c>
      <c r="BN27" s="18"/>
      <c r="BO27"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27"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27" s="41">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27" s="35">
        <f>IFERROR(INDEX(Production[Input 7],MATCH(IslandModel_1000P[[#This Row],[Building]],Production[Building],0)),"")</f>
        <v>0</v>
      </c>
      <c r="BS27" s="18"/>
      <c r="BT27"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27"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27" s="41">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27" s="35">
        <f>IFERROR(INDEX(Production[Input 8],MATCH(IslandModel_1000P[[#This Row],[Building]],Production[Building],0)),"")</f>
        <v>0</v>
      </c>
      <c r="BX27" s="18"/>
      <c r="BY27"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27"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27" s="41">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27" s="35">
        <f>IFERROR(INDEX(Production[Input 9],MATCH(IslandModel_1000P[[#This Row],[Building]],Production[Building],0)),"")</f>
        <v>0</v>
      </c>
      <c r="CC27" s="18"/>
      <c r="CD27"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27"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27" s="41">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27" s="35">
        <f>IFERROR(INDEX(Production[Input 10],MATCH(IslandModel_1000P[[#This Row],[Building]],Production[Building],0)),"")</f>
        <v>0</v>
      </c>
      <c r="CH27" s="18"/>
      <c r="CI27"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27"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27" s="41">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27" s="48">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27" s="34" t="str">
        <f>IslandModel_1000P[[#This Row],[Resource Produced]]</f>
        <v>Schnapps</v>
      </c>
      <c r="CN27" s="42">
        <f>IslandModel_1000P[[#This Row],[Amount produced/h]]</f>
        <v>1080</v>
      </c>
      <c r="CO27" s="42" t="str">
        <f>IslandModel_1000P[[#This Row],[Input 1]]</f>
        <v>Land tile</v>
      </c>
      <c r="CP27" s="42">
        <f>-IslandModel_1000P[[#This Row],[Input 1 Consumed]]</f>
        <v>-18</v>
      </c>
      <c r="CQ27" s="42" t="str">
        <f>IslandModel_1000P[[#This Row],[Input 2]]</f>
        <v>Potato Field</v>
      </c>
      <c r="CR27" s="42">
        <f>-IslandModel_1000P[[#This Row],[Input 2 Consumed]]</f>
        <v>-72</v>
      </c>
      <c r="CS27" s="42">
        <f>IslandModel_1000P[[#This Row],[Input 3]]</f>
        <v>0</v>
      </c>
      <c r="CT27" s="42">
        <f>-IslandModel_1000P[[#This Row],[Input 3 Consumed]]</f>
        <v>0</v>
      </c>
      <c r="CU27" s="42">
        <f>IslandModel_1000P[[#This Row],[Input 4]]</f>
        <v>0</v>
      </c>
      <c r="CV27" s="42">
        <f>-IslandModel_1000P[[#This Row],[Input 4 Consumed]]</f>
        <v>0</v>
      </c>
      <c r="CW27" s="42">
        <f>IslandModel_1000P[[#This Row],[Input 5]]</f>
        <v>0</v>
      </c>
      <c r="CX27" s="42">
        <f>-IslandModel_1000P[[#This Row],[Input 5 Consumed]]</f>
        <v>0</v>
      </c>
      <c r="CY27" s="42">
        <f>IslandModel_1000P[[#This Row],[Input 6]]</f>
        <v>0</v>
      </c>
      <c r="CZ27" s="42">
        <f>-IslandModel_1000P[[#This Row],[Input 6 Consumed]]</f>
        <v>0</v>
      </c>
      <c r="DA27" s="42">
        <f>IslandModel_1000P[[#This Row],[Input 7]]</f>
        <v>0</v>
      </c>
      <c r="DB27" s="42">
        <f>-IslandModel_1000P[[#This Row],[Input 7 Consumed]]</f>
        <v>0</v>
      </c>
      <c r="DC27" s="42">
        <f>IslandModel_1000P[[#This Row],[Input 8]]</f>
        <v>0</v>
      </c>
      <c r="DD27" s="42">
        <f>-IslandModel_1000P[[#This Row],[Input 8 Consumed]]</f>
        <v>0</v>
      </c>
      <c r="DE27" s="42">
        <f>IslandModel_1000P[[#This Row],[Input 9]]</f>
        <v>0</v>
      </c>
      <c r="DF27" s="42">
        <f>-IslandModel_1000P[[#This Row],[Input 9 Consumed]]</f>
        <v>0</v>
      </c>
      <c r="DG27" s="42">
        <f>IslandModel_1000P[[#This Row],[Input 10]]</f>
        <v>0</v>
      </c>
      <c r="DH27" s="42">
        <f>-IslandModel_1000P[[#This Row],[Input 10 Consumed]]</f>
        <v>0</v>
      </c>
      <c r="DJ27" t="s">
        <v>74</v>
      </c>
      <c r="DK27" s="39">
        <f>SUM(SUMIFS(IslandModel_1000P[Resource 1 Qty],IslandModel_1000P[Resource 1],ResourceAvailable_1000P[[#This Row],[Resource]]))</f>
        <v>0</v>
      </c>
      <c r="DL27"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27" s="39">
        <f>ResourceAvailable_1000P[[#This Row],[Amount Produced]]-ResourceAvailable_1000P[[#This Row],[Amount Consumed]]</f>
        <v>0</v>
      </c>
      <c r="DN27" s="20">
        <f>MAX(0,ResourceAvailable_1000P[[#This Row],[Amount Available for Resident Consumption]]-SUMIFS(ConsumptionModel_1000P[Resource Demand],ConsumptionModel_1000P[Resource],ResourceAvailable_1000P[[#This Row],[Resource]]))</f>
        <v>0</v>
      </c>
    </row>
    <row r="28" spans="2:118" ht="21" x14ac:dyDescent="0.65">
      <c r="B28" s="178">
        <f>ROW()</f>
        <v>28</v>
      </c>
      <c r="C28" s="70">
        <f>INDEX(ConsumptionModelInputs_1000P[Quantity],MATCH(ConsumptionModel_1000P[[#This Row],[Building]],ConsumptionModelInputs_1000P[Building],0))</f>
        <v>10</v>
      </c>
      <c r="D28" s="179" t="s">
        <v>56</v>
      </c>
      <c r="E28" s="179" t="s">
        <v>63</v>
      </c>
      <c r="F28" s="191" t="str">
        <f>IF(OR(ISBLANK(ConsumptionModel_1000P[[#This Row],[Building]]),ISBLANK(ConsumptionModel_1000P[[#This Row],[Resource]]))," - ",INDEX(Consumption[Type],MATCH(ConsumptionModel_1000P[[#This Row],[LookupValue]],Consumption[LookupValue],0)))</f>
        <v>Need</v>
      </c>
      <c r="G28" s="61" t="str">
        <f>IF(OR(ISBLANK(ConsumptionModel_1000P[[#This Row],[Building]]),ISBLANK(ConsumptionModel_1000P[[#This Row],[Resource]]))," - ",ConsumptionModel_1000P[[#This Row],[Building]]&amp;" - "&amp;ConsumptionModel_1000P[[#This Row],[Resource]])</f>
        <v>Colonist's House - Fish</v>
      </c>
      <c r="H28" s="62">
        <f>ConsumptionModel_1000P[[#This Row],[Quantity]]*INDEX(Consumption[Consumption/person/h],MATCH(ConsumptionModel_1000P[[#This Row],[LookupValue]],Consumption[LookupValue],0))*IFERROR(INDEX(ResidentBuildings[Residents],MATCH(ConsumptionModel_1000P[[#This Row],[Building]],ResidentBuildings[Building],0)),0)</f>
        <v>225</v>
      </c>
      <c r="I28"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1005</v>
      </c>
      <c r="J28" s="57">
        <f>IF(ConsumptionModel_1000P[[#This Row],[Quantity]]=0,"",IF(AND(ConsumptionModel_1000P[[#This Row],[Resource Demand]]=0,ConsumptionModel_1000P[[#This Row],[Resource Available]]&gt;0),1,MIN(1,IFERROR(ConsumptionModel_1000P[[#This Row],[Resource Available]]/ConsumptionModel_1000P[[#This Row],[Resource Demand]],0))))</f>
        <v>1</v>
      </c>
      <c r="K28"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N28" s="7" t="s">
        <v>832</v>
      </c>
      <c r="O28" s="196" t="s">
        <v>108</v>
      </c>
      <c r="P28" s="71">
        <f>SUMIFS(ResourceAvailable_1000P[Amount Produced],ResourceAvailable_1000P[Resource],ResourceMonitor_1000P[[#This Row],[Resource]])</f>
        <v>120</v>
      </c>
      <c r="Q28" s="71">
        <f>SUMIFS(ResourceAvailable_1000P[Amount Consumed],ResourceAvailable_1000P[Resource],ResourceMonitor_1000P[[#This Row],[Resource]])</f>
        <v>0</v>
      </c>
      <c r="R28" s="71">
        <f>SUMIFS(ResourceAvailable_1000P[Amount Available for Resident Consumption],ResourceAvailable_1000P[Resource],ResourceMonitor_1000P[[#This Row],[Resource]])</f>
        <v>120</v>
      </c>
      <c r="S28" s="39">
        <f>MAX(0,ResourceMonitor_1000P[[#This Row],[Amount Available for Resident Consumption]]-SUMIFS(ConsumptionModel_1000P[Resource Demand],ConsumptionModel_1000P[Resource],ResourceMonitor_1000P[[#This Row],[Resource]]))</f>
        <v>2.9999999999999858</v>
      </c>
      <c r="T28" s="39">
        <f>MIN(0,ResourceMonitor_1000P[[#This Row],[Amount Available for Resident Consumption]]-SUMIFS(ConsumptionModel_1000P[Resource Demand],ConsumptionModel_1000P[Resource],ResourceMonitor_1000P[[#This Row],[Resource]]))</f>
        <v>0</v>
      </c>
      <c r="U28" s="122">
        <f>IFERROR(INDEX(#REF!,MATCH(ResourceMonitor_1000P[[#This Row],[Resource]],#REF!,0)),0)</f>
        <v>0</v>
      </c>
      <c r="V28" s="194">
        <f>IFERROR(ResourceMonitor_1000P[[#This Row],[Amount Produced]]/ResourceMonitor_1000P[[#This Row],[Production Target]],0)</f>
        <v>0</v>
      </c>
      <c r="W28" s="133"/>
      <c r="X28" s="47">
        <f>IF(ResourceMonitor_1000P[[#This Row],[Ignore shipping needs?]]="Yes",0,ROUNDUP(ResourceMonitor_1000P[[#This Row],[Production Target]]/INDEX(ShipRequirementCalculator[Cargo capacity/h (return, 50% empty)],MATCH($X$15,ShipRequirementCalculator[Ship],0)),0))</f>
        <v>0</v>
      </c>
      <c r="Y28" s="47">
        <f>IF(ResourceMonitor_1000P[[#This Row],[Ignore shipping needs?]]="Yes",0,ROUNDUP(ResourceMonitor_1000P[[#This Row],[Production Target]]/INDEX(ShipRequirementCalculator[Cargo capacity/h (return, 50% empty)],MATCH($Y$15,ShipRequirementCalculator[Ship],0)),0))</f>
        <v>0</v>
      </c>
      <c r="Z28" s="47">
        <f>IF(ResourceMonitor_1000P[[#This Row],[Ignore shipping needs?]]="Yes",0,ROUNDUP(ResourceMonitor_1000P[[#This Row],[Production Target]]/INDEX(ShipRequirementCalculator[Cargo capacity/h (return, 50% empty)],MATCH($Z$15,ShipRequirementCalculator[Ship],0)),0))</f>
        <v>0</v>
      </c>
      <c r="AA28" s="124"/>
      <c r="AC28" s="102" t="s">
        <v>72</v>
      </c>
      <c r="AD28" s="36">
        <f>ROW()</f>
        <v>28</v>
      </c>
      <c r="AE28" s="74">
        <f>AE29*8</f>
        <v>72</v>
      </c>
      <c r="AF28" s="50" t="s">
        <v>68</v>
      </c>
      <c r="AG28" s="50"/>
      <c r="AH28" s="74">
        <f>AH29*8</f>
        <v>72</v>
      </c>
      <c r="AI28" s="156">
        <f>IFERROR(IslandModel_1000P[[#This Row],[Quantity]]/IslandModel_1000P[[#This Row],[Target Quantity]],0)</f>
        <v>1</v>
      </c>
      <c r="AJ28" s="20" t="str">
        <f>IFERROR(INDEX(Production[Resource Produced],MATCH(IslandModel_1000P[[#This Row],[Building]],Production[Building],0)),"")</f>
        <v>Linseed Field</v>
      </c>
      <c r="AK28" s="14">
        <f>IFERROR(IslandModel_1000P[[#This Row],[Quantity]]*INDEX(Production[Production in 1h],MATCH(IslandModel_1000P[[#This Row],[Building]],Production[Building],0))*IslandModel_1000P[[#This Row],[Input Consumption Multiplier]],0)</f>
        <v>72</v>
      </c>
      <c r="AL28" s="90">
        <f>100%</f>
        <v>1</v>
      </c>
      <c r="AM28"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28" s="35" t="str">
        <f>IFERROR(INDEX(Production[Input 1],MATCH(IslandModel_1000P[[#This Row],[Building]],Production[Building],0)),"")</f>
        <v>Land tile</v>
      </c>
      <c r="AO28" s="18"/>
      <c r="AP28" s="41">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72</v>
      </c>
      <c r="AQ28"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2756</v>
      </c>
      <c r="AR28" s="41">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72</v>
      </c>
      <c r="AS28" s="35">
        <f>IFERROR(INDEX(Production[Input 2],MATCH(IslandModel_1000P[[#This Row],[Building]],Production[Building],0)),"")</f>
        <v>0</v>
      </c>
      <c r="AT28" s="18"/>
      <c r="AU28"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28"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28"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28" s="35">
        <f>IFERROR(INDEX(Production[Input 3],MATCH(IslandModel_1000P[[#This Row],[Building]],Production[Building],0)),"")</f>
        <v>0</v>
      </c>
      <c r="AY28" s="18"/>
      <c r="AZ28"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28"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28"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28" s="35">
        <f>IFERROR(INDEX(Production[Input 4],MATCH(IslandModel_1000P[[#This Row],[Building]],Production[Building],0)),"")</f>
        <v>0</v>
      </c>
      <c r="BD28" s="18"/>
      <c r="BE28"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28"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28" s="41">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28" s="35">
        <f>IFERROR(INDEX(Production[Input 5],MATCH(IslandModel_1000P[[#This Row],[Building]],Production[Building],0)),"")</f>
        <v>0</v>
      </c>
      <c r="BI28" s="18"/>
      <c r="BJ28"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28"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28" s="41">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28" s="35">
        <f>IFERROR(INDEX(Production[Input 6],MATCH(IslandModel_1000P[[#This Row],[Building]],Production[Building],0)),"")</f>
        <v>0</v>
      </c>
      <c r="BN28" s="18"/>
      <c r="BO28"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28"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28" s="41">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28" s="35">
        <f>IFERROR(INDEX(Production[Input 7],MATCH(IslandModel_1000P[[#This Row],[Building]],Production[Building],0)),"")</f>
        <v>0</v>
      </c>
      <c r="BS28" s="18"/>
      <c r="BT28"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28"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28" s="41">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28" s="35">
        <f>IFERROR(INDEX(Production[Input 8],MATCH(IslandModel_1000P[[#This Row],[Building]],Production[Building],0)),"")</f>
        <v>0</v>
      </c>
      <c r="BX28" s="18"/>
      <c r="BY28"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28"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28" s="41">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28" s="35">
        <f>IFERROR(INDEX(Production[Input 9],MATCH(IslandModel_1000P[[#This Row],[Building]],Production[Building],0)),"")</f>
        <v>0</v>
      </c>
      <c r="CC28" s="18"/>
      <c r="CD28"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28"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28" s="41">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28" s="35">
        <f>IFERROR(INDEX(Production[Input 10],MATCH(IslandModel_1000P[[#This Row],[Building]],Production[Building],0)),"")</f>
        <v>0</v>
      </c>
      <c r="CH28" s="18"/>
      <c r="CI28"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28"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28" s="41">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28" s="48">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28" s="34" t="str">
        <f>IslandModel_1000P[[#This Row],[Resource Produced]]</f>
        <v>Linseed Field</v>
      </c>
      <c r="CN28" s="42">
        <f>IslandModel_1000P[[#This Row],[Amount produced/h]]</f>
        <v>72</v>
      </c>
      <c r="CO28" s="42" t="str">
        <f>IslandModel_1000P[[#This Row],[Input 1]]</f>
        <v>Land tile</v>
      </c>
      <c r="CP28" s="42">
        <f>-IslandModel_1000P[[#This Row],[Input 1 Consumed]]</f>
        <v>-72</v>
      </c>
      <c r="CQ28" s="42">
        <f>IslandModel_1000P[[#This Row],[Input 2]]</f>
        <v>0</v>
      </c>
      <c r="CR28" s="42">
        <f>-IslandModel_1000P[[#This Row],[Input 2 Consumed]]</f>
        <v>0</v>
      </c>
      <c r="CS28" s="42">
        <f>IslandModel_1000P[[#This Row],[Input 3]]</f>
        <v>0</v>
      </c>
      <c r="CT28" s="42">
        <f>-IslandModel_1000P[[#This Row],[Input 3 Consumed]]</f>
        <v>0</v>
      </c>
      <c r="CU28" s="42">
        <f>IslandModel_1000P[[#This Row],[Input 4]]</f>
        <v>0</v>
      </c>
      <c r="CV28" s="42">
        <f>-IslandModel_1000P[[#This Row],[Input 4 Consumed]]</f>
        <v>0</v>
      </c>
      <c r="CW28" s="42">
        <f>IslandModel_1000P[[#This Row],[Input 5]]</f>
        <v>0</v>
      </c>
      <c r="CX28" s="42">
        <f>-IslandModel_1000P[[#This Row],[Input 5 Consumed]]</f>
        <v>0</v>
      </c>
      <c r="CY28" s="42">
        <f>IslandModel_1000P[[#This Row],[Input 6]]</f>
        <v>0</v>
      </c>
      <c r="CZ28" s="42">
        <f>-IslandModel_1000P[[#This Row],[Input 6 Consumed]]</f>
        <v>0</v>
      </c>
      <c r="DA28" s="42">
        <f>IslandModel_1000P[[#This Row],[Input 7]]</f>
        <v>0</v>
      </c>
      <c r="DB28" s="42">
        <f>-IslandModel_1000P[[#This Row],[Input 7 Consumed]]</f>
        <v>0</v>
      </c>
      <c r="DC28" s="42">
        <f>IslandModel_1000P[[#This Row],[Input 8]]</f>
        <v>0</v>
      </c>
      <c r="DD28" s="42">
        <f>-IslandModel_1000P[[#This Row],[Input 8 Consumed]]</f>
        <v>0</v>
      </c>
      <c r="DE28" s="42">
        <f>IslandModel_1000P[[#This Row],[Input 9]]</f>
        <v>0</v>
      </c>
      <c r="DF28" s="42">
        <f>-IslandModel_1000P[[#This Row],[Input 9 Consumed]]</f>
        <v>0</v>
      </c>
      <c r="DG28" s="42">
        <f>IslandModel_1000P[[#This Row],[Input 10]]</f>
        <v>0</v>
      </c>
      <c r="DH28" s="42">
        <f>-IslandModel_1000P[[#This Row],[Input 10 Consumed]]</f>
        <v>0</v>
      </c>
      <c r="DJ28" t="s">
        <v>108</v>
      </c>
      <c r="DK28" s="39">
        <f>SUM(SUMIFS(IslandModel_1000P[Resource 1 Qty],IslandModel_1000P[Resource 1],ResourceAvailable_1000P[[#This Row],[Resource]]))</f>
        <v>120</v>
      </c>
      <c r="DL28"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28" s="39">
        <f>ResourceAvailable_1000P[[#This Row],[Amount Produced]]-ResourceAvailable_1000P[[#This Row],[Amount Consumed]]</f>
        <v>120</v>
      </c>
      <c r="DN28" s="20">
        <f>MAX(0,ResourceAvailable_1000P[[#This Row],[Amount Available for Resident Consumption]]-SUMIFS(ConsumptionModel_1000P[Resource Demand],ConsumptionModel_1000P[Resource],ResourceAvailable_1000P[[#This Row],[Resource]]))</f>
        <v>2.9999999999999858</v>
      </c>
    </row>
    <row r="29" spans="2:118" ht="21" x14ac:dyDescent="0.65">
      <c r="B29" s="178">
        <f>ROW()</f>
        <v>29</v>
      </c>
      <c r="C29" s="70">
        <f>INDEX(ConsumptionModelInputs_1000P[Quantity],MATCH(ConsumptionModel_1000P[[#This Row],[Building]],ConsumptionModelInputs_1000P[Building],0))</f>
        <v>10</v>
      </c>
      <c r="D29" s="179" t="s">
        <v>56</v>
      </c>
      <c r="E29" s="179" t="s">
        <v>66</v>
      </c>
      <c r="F29" s="191" t="str">
        <f>IF(OR(ISBLANK(ConsumptionModel_1000P[[#This Row],[Building]]),ISBLANK(ConsumptionModel_1000P[[#This Row],[Resource]]))," - ",INDEX(Consumption[Type],MATCH(ConsumptionModel_1000P[[#This Row],[LookupValue]],Consumption[LookupValue],0)))</f>
        <v>Need</v>
      </c>
      <c r="G29" s="61" t="str">
        <f>IF(OR(ISBLANK(ConsumptionModel_1000P[[#This Row],[Building]]),ISBLANK(ConsumptionModel_1000P[[#This Row],[Resource]]))," - ",ConsumptionModel_1000P[[#This Row],[Building]]&amp;" - "&amp;ConsumptionModel_1000P[[#This Row],[Resource]])</f>
        <v>Colonist's House - Schnapps</v>
      </c>
      <c r="H29" s="62">
        <f>ConsumptionModel_1000P[[#This Row],[Quantity]]*INDEX(Consumption[Consumption/person/h],MATCH(ConsumptionModel_1000P[[#This Row],[LookupValue]],Consumption[LookupValue],0))*IFERROR(INDEX(ResidentBuildings[Residents],MATCH(ConsumptionModel_1000P[[#This Row],[Building]],ResidentBuildings[Building],0)),0)</f>
        <v>199.99999999999997</v>
      </c>
      <c r="I29"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1045</v>
      </c>
      <c r="J29" s="57">
        <f>IF(ConsumptionModel_1000P[[#This Row],[Quantity]]=0,"",IF(AND(ConsumptionModel_1000P[[#This Row],[Resource Demand]]=0,ConsumptionModel_1000P[[#This Row],[Resource Available]]&gt;0),1,MIN(1,IFERROR(ConsumptionModel_1000P[[#This Row],[Resource Available]]/ConsumptionModel_1000P[[#This Row],[Resource Demand]],0))))</f>
        <v>1</v>
      </c>
      <c r="K29"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N29" s="7" t="s">
        <v>833</v>
      </c>
      <c r="O29" s="196" t="s">
        <v>116</v>
      </c>
      <c r="P29" s="71">
        <f>SUMIFS(ResourceAvailable_1000P[Amount Produced],ResourceAvailable_1000P[Resource],ResourceMonitor_1000P[[#This Row],[Resource]])</f>
        <v>240</v>
      </c>
      <c r="Q29" s="71">
        <f>SUMIFS(ResourceAvailable_1000P[Amount Consumed],ResourceAvailable_1000P[Resource],ResourceMonitor_1000P[[#This Row],[Resource]])</f>
        <v>0</v>
      </c>
      <c r="R29" s="71">
        <f>SUMIFS(ResourceAvailable_1000P[Amount Available for Resident Consumption],ResourceAvailable_1000P[Resource],ResourceMonitor_1000P[[#This Row],[Resource]])</f>
        <v>240</v>
      </c>
      <c r="S29" s="39">
        <f>MAX(0,ResourceMonitor_1000P[[#This Row],[Amount Available for Resident Consumption]]-SUMIFS(ConsumptionModel_1000P[Resource Demand],ConsumptionModel_1000P[Resource],ResourceMonitor_1000P[[#This Row],[Resource]]))</f>
        <v>12</v>
      </c>
      <c r="T29" s="39">
        <f>MIN(0,ResourceMonitor_1000P[[#This Row],[Amount Available for Resident Consumption]]-SUMIFS(ConsumptionModel_1000P[Resource Demand],ConsumptionModel_1000P[Resource],ResourceMonitor_1000P[[#This Row],[Resource]]))</f>
        <v>0</v>
      </c>
      <c r="U29" s="122">
        <f>IFERROR(INDEX(#REF!,MATCH(ResourceMonitor_1000P[[#This Row],[Resource]],#REF!,0)),0)</f>
        <v>0</v>
      </c>
      <c r="V29" s="194">
        <f>IFERROR(ResourceMonitor_1000P[[#This Row],[Amount Produced]]/ResourceMonitor_1000P[[#This Row],[Production Target]],0)</f>
        <v>0</v>
      </c>
      <c r="W29" s="133"/>
      <c r="X29" s="47">
        <f>IF(ResourceMonitor_1000P[[#This Row],[Ignore shipping needs?]]="Yes",0,ROUNDUP(ResourceMonitor_1000P[[#This Row],[Production Target]]/INDEX(ShipRequirementCalculator[Cargo capacity/h (return, 50% empty)],MATCH($X$15,ShipRequirementCalculator[Ship],0)),0))</f>
        <v>0</v>
      </c>
      <c r="Y29" s="47">
        <f>IF(ResourceMonitor_1000P[[#This Row],[Ignore shipping needs?]]="Yes",0,ROUNDUP(ResourceMonitor_1000P[[#This Row],[Production Target]]/INDEX(ShipRequirementCalculator[Cargo capacity/h (return, 50% empty)],MATCH($Y$15,ShipRequirementCalculator[Ship],0)),0))</f>
        <v>0</v>
      </c>
      <c r="Z29" s="47">
        <f>IF(ResourceMonitor_1000P[[#This Row],[Ignore shipping needs?]]="Yes",0,ROUNDUP(ResourceMonitor_1000P[[#This Row],[Production Target]]/INDEX(ShipRequirementCalculator[Cargo capacity/h (return, 50% empty)],MATCH($Z$15,ShipRequirementCalculator[Ship],0)),0))</f>
        <v>0</v>
      </c>
      <c r="AA29" s="124"/>
      <c r="AC29" s="102" t="s">
        <v>72</v>
      </c>
      <c r="AD29" s="36">
        <f>ROW()</f>
        <v>29</v>
      </c>
      <c r="AE29" s="74">
        <v>9</v>
      </c>
      <c r="AF29" s="50" t="s">
        <v>70</v>
      </c>
      <c r="AG29" s="50"/>
      <c r="AH29" s="74">
        <v>9</v>
      </c>
      <c r="AI29" s="156">
        <f>IFERROR(IslandModel_1000P[[#This Row],[Quantity]]/IslandModel_1000P[[#This Row],[Target Quantity]],0)</f>
        <v>1</v>
      </c>
      <c r="AJ29" s="20" t="str">
        <f>IFERROR(INDEX(Production[Resource Produced],MATCH(IslandModel_1000P[[#This Row],[Building]],Production[Building],0)),"")</f>
        <v>Linseed</v>
      </c>
      <c r="AK29" s="14">
        <f>IFERROR(IslandModel_1000P[[#This Row],[Quantity]]*INDEX(Production[Production in 1h],MATCH(IslandModel_1000P[[#This Row],[Building]],Production[Building],0))*IslandModel_1000P[[#This Row],[Input Consumption Multiplier]],0)</f>
        <v>270</v>
      </c>
      <c r="AL29" s="90">
        <f>100%</f>
        <v>1</v>
      </c>
      <c r="AM29"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29" s="35" t="str">
        <f>IFERROR(INDEX(Production[Input 1],MATCH(IslandModel_1000P[[#This Row],[Building]],Production[Building],0)),"")</f>
        <v>Land tile</v>
      </c>
      <c r="AO29" s="18"/>
      <c r="AP29" s="41">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9</v>
      </c>
      <c r="AQ29"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2684</v>
      </c>
      <c r="AR29" s="41">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9</v>
      </c>
      <c r="AS29" s="35" t="str">
        <f>IFERROR(INDEX(Production[Input 2],MATCH(IslandModel_1000P[[#This Row],[Building]],Production[Building],0)),"")</f>
        <v>Linseed Field</v>
      </c>
      <c r="AT29" s="18"/>
      <c r="AU29" s="98">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72</v>
      </c>
      <c r="AV29"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72</v>
      </c>
      <c r="AW29"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72</v>
      </c>
      <c r="AX29" s="35">
        <f>IFERROR(INDEX(Production[Input 3],MATCH(IslandModel_1000P[[#This Row],[Building]],Production[Building],0)),"")</f>
        <v>0</v>
      </c>
      <c r="AY29" s="18"/>
      <c r="AZ29" s="98">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29"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29"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29" s="35">
        <f>IFERROR(INDEX(Production[Input 4],MATCH(IslandModel_1000P[[#This Row],[Building]],Production[Building],0)),"")</f>
        <v>0</v>
      </c>
      <c r="BD29" s="18"/>
      <c r="BE29" s="98">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29"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29" s="41">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29" s="35">
        <f>IFERROR(INDEX(Production[Input 5],MATCH(IslandModel_1000P[[#This Row],[Building]],Production[Building],0)),"")</f>
        <v>0</v>
      </c>
      <c r="BI29" s="18"/>
      <c r="BJ29" s="98">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29"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29" s="41">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29" s="35">
        <f>IFERROR(INDEX(Production[Input 6],MATCH(IslandModel_1000P[[#This Row],[Building]],Production[Building],0)),"")</f>
        <v>0</v>
      </c>
      <c r="BN29" s="18"/>
      <c r="BO29" s="98">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29"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29" s="41">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29" s="35">
        <f>IFERROR(INDEX(Production[Input 7],MATCH(IslandModel_1000P[[#This Row],[Building]],Production[Building],0)),"")</f>
        <v>0</v>
      </c>
      <c r="BS29" s="18"/>
      <c r="BT29" s="98">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29"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29" s="41">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29" s="35">
        <f>IFERROR(INDEX(Production[Input 8],MATCH(IslandModel_1000P[[#This Row],[Building]],Production[Building],0)),"")</f>
        <v>0</v>
      </c>
      <c r="BX29" s="18"/>
      <c r="BY29" s="98">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29"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29" s="41">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29" s="35">
        <f>IFERROR(INDEX(Production[Input 9],MATCH(IslandModel_1000P[[#This Row],[Building]],Production[Building],0)),"")</f>
        <v>0</v>
      </c>
      <c r="CC29" s="18"/>
      <c r="CD29" s="98">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29"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29" s="41">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29" s="35">
        <f>IFERROR(INDEX(Production[Input 10],MATCH(IslandModel_1000P[[#This Row],[Building]],Production[Building],0)),"")</f>
        <v>0</v>
      </c>
      <c r="CH29" s="18"/>
      <c r="CI29" s="98">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29"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29" s="41">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29" s="48">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29" s="34" t="str">
        <f>IslandModel_1000P[[#This Row],[Resource Produced]]</f>
        <v>Linseed</v>
      </c>
      <c r="CN29" s="42">
        <f>IslandModel_1000P[[#This Row],[Amount produced/h]]</f>
        <v>270</v>
      </c>
      <c r="CO29" s="42" t="str">
        <f>IslandModel_1000P[[#This Row],[Input 1]]</f>
        <v>Land tile</v>
      </c>
      <c r="CP29" s="42">
        <f>-IslandModel_1000P[[#This Row],[Input 1 Consumed]]</f>
        <v>-9</v>
      </c>
      <c r="CQ29" s="42" t="str">
        <f>IslandModel_1000P[[#This Row],[Input 2]]</f>
        <v>Linseed Field</v>
      </c>
      <c r="CR29" s="42">
        <f>-IslandModel_1000P[[#This Row],[Input 2 Consumed]]</f>
        <v>-72</v>
      </c>
      <c r="CS29" s="42">
        <f>IslandModel_1000P[[#This Row],[Input 3]]</f>
        <v>0</v>
      </c>
      <c r="CT29" s="42">
        <f>-IslandModel_1000P[[#This Row],[Input 3 Consumed]]</f>
        <v>0</v>
      </c>
      <c r="CU29" s="42">
        <f>IslandModel_1000P[[#This Row],[Input 4]]</f>
        <v>0</v>
      </c>
      <c r="CV29" s="42">
        <f>-IslandModel_1000P[[#This Row],[Input 4 Consumed]]</f>
        <v>0</v>
      </c>
      <c r="CW29" s="42">
        <f>IslandModel_1000P[[#This Row],[Input 5]]</f>
        <v>0</v>
      </c>
      <c r="CX29" s="42">
        <f>-IslandModel_1000P[[#This Row],[Input 5 Consumed]]</f>
        <v>0</v>
      </c>
      <c r="CY29" s="42">
        <f>IslandModel_1000P[[#This Row],[Input 6]]</f>
        <v>0</v>
      </c>
      <c r="CZ29" s="42">
        <f>-IslandModel_1000P[[#This Row],[Input 6 Consumed]]</f>
        <v>0</v>
      </c>
      <c r="DA29" s="42">
        <f>IslandModel_1000P[[#This Row],[Input 7]]</f>
        <v>0</v>
      </c>
      <c r="DB29" s="42">
        <f>-IslandModel_1000P[[#This Row],[Input 7 Consumed]]</f>
        <v>0</v>
      </c>
      <c r="DC29" s="42">
        <f>IslandModel_1000P[[#This Row],[Input 8]]</f>
        <v>0</v>
      </c>
      <c r="DD29" s="42">
        <f>-IslandModel_1000P[[#This Row],[Input 8 Consumed]]</f>
        <v>0</v>
      </c>
      <c r="DE29" s="42">
        <f>IslandModel_1000P[[#This Row],[Input 9]]</f>
        <v>0</v>
      </c>
      <c r="DF29" s="42">
        <f>-IslandModel_1000P[[#This Row],[Input 9 Consumed]]</f>
        <v>0</v>
      </c>
      <c r="DG29" s="42">
        <f>IslandModel_1000P[[#This Row],[Input 10]]</f>
        <v>0</v>
      </c>
      <c r="DH29" s="42">
        <f>-IslandModel_1000P[[#This Row],[Input 10 Consumed]]</f>
        <v>0</v>
      </c>
      <c r="DJ29" t="s">
        <v>123</v>
      </c>
      <c r="DK29" s="39">
        <f>SUM(SUMIFS(IslandModel_1000P[Resource 1 Qty],IslandModel_1000P[Resource 1],ResourceAvailable_1000P[[#This Row],[Resource]]))</f>
        <v>0</v>
      </c>
      <c r="DL29"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29" s="39">
        <f>ResourceAvailable_1000P[[#This Row],[Amount Produced]]-ResourceAvailable_1000P[[#This Row],[Amount Consumed]]</f>
        <v>0</v>
      </c>
      <c r="DN29" s="58">
        <f>MAX(0,ResourceAvailable_1000P[[#This Row],[Amount Available for Resident Consumption]]-SUMIFS(ConsumptionModel_1000P[Resource Demand],ConsumptionModel_1000P[Resource],ResourceAvailable_1000P[[#This Row],[Resource]]))</f>
        <v>0</v>
      </c>
    </row>
    <row r="30" spans="2:118" ht="21" x14ac:dyDescent="0.65">
      <c r="B30" s="178">
        <f>ROW()</f>
        <v>30</v>
      </c>
      <c r="C30" s="70">
        <f>INDEX(ConsumptionModelInputs_1000P[Quantity],MATCH(ConsumptionModel_1000P[[#This Row],[Building]],ConsumptionModelInputs_1000P[Building],0))</f>
        <v>10</v>
      </c>
      <c r="D30" s="179" t="s">
        <v>56</v>
      </c>
      <c r="E30" s="179" t="s">
        <v>72</v>
      </c>
      <c r="F30" s="191" t="str">
        <f>IF(OR(ISBLANK(ConsumptionModel_1000P[[#This Row],[Building]]),ISBLANK(ConsumptionModel_1000P[[#This Row],[Resource]]))," - ",INDEX(Consumption[Type],MATCH(ConsumptionModel_1000P[[#This Row],[LookupValue]],Consumption[LookupValue],0)))</f>
        <v>Luxury</v>
      </c>
      <c r="G30" s="61" t="str">
        <f>IF(OR(ISBLANK(ConsumptionModel_1000P[[#This Row],[Building]]),ISBLANK(ConsumptionModel_1000P[[#This Row],[Resource]]))," - ",ConsumptionModel_1000P[[#This Row],[Building]]&amp;" - "&amp;ConsumptionModel_1000P[[#This Row],[Resource]])</f>
        <v>Colonist's House - Linen</v>
      </c>
      <c r="H30" s="62">
        <f>ConsumptionModel_1000P[[#This Row],[Quantity]]*INDEX(Consumption[Consumption/person/h],MATCH(ConsumptionModel_1000P[[#This Row],[LookupValue]],Consumption[LookupValue],0))*IFERROR(INDEX(ResidentBuildings[Residents],MATCH(ConsumptionModel_1000P[[#This Row],[Building]],ResidentBuildings[Building],0)),0)</f>
        <v>60</v>
      </c>
      <c r="I30"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135</v>
      </c>
      <c r="J30" s="57">
        <f>IF(ConsumptionModel_1000P[[#This Row],[Quantity]]=0,"",IF(AND(ConsumptionModel_1000P[[#This Row],[Resource Demand]]=0,ConsumptionModel_1000P[[#This Row],[Resource Available]]&gt;0),1,MIN(1,IFERROR(ConsumptionModel_1000P[[#This Row],[Resource Available]]/ConsumptionModel_1000P[[#This Row],[Resource Demand]],0))))</f>
        <v>1</v>
      </c>
      <c r="K30"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11.25</v>
      </c>
      <c r="O30" s="196" t="s">
        <v>332</v>
      </c>
      <c r="P30" s="71">
        <f>SUMIFS(ResourceAvailable_1000P[Amount Produced],ResourceAvailable_1000P[Resource],ResourceMonitor_1000P[[#This Row],[Resource]])</f>
        <v>3</v>
      </c>
      <c r="Q30" s="71">
        <f>SUMIFS(ResourceAvailable_1000P[Amount Consumed],ResourceAvailable_1000P[Resource],ResourceMonitor_1000P[[#This Row],[Resource]])</f>
        <v>0</v>
      </c>
      <c r="R30" s="71">
        <f>SUMIFS(ResourceAvailable_1000P[Amount Available for Resident Consumption],ResourceAvailable_1000P[Resource],ResourceMonitor_1000P[[#This Row],[Resource]])</f>
        <v>3</v>
      </c>
      <c r="S30" s="39">
        <f>MAX(0,ResourceMonitor_1000P[[#This Row],[Amount Available for Resident Consumption]]-SUMIFS(ConsumptionModel_1000P[Resource Demand],ConsumptionModel_1000P[Resource],ResourceMonitor_1000P[[#This Row],[Resource]]))</f>
        <v>3</v>
      </c>
      <c r="T30" s="39">
        <f>MIN(0,ResourceMonitor_1000P[[#This Row],[Amount Available for Resident Consumption]]-SUMIFS(ConsumptionModel_1000P[Resource Demand],ConsumptionModel_1000P[Resource],ResourceMonitor_1000P[[#This Row],[Resource]]))</f>
        <v>0</v>
      </c>
      <c r="U30" s="122">
        <f>IFERROR(INDEX(#REF!,MATCH(ResourceMonitor_1000P[[#This Row],[Resource]],#REF!,0)),0)</f>
        <v>0</v>
      </c>
      <c r="V30" s="194">
        <f>IFERROR(ResourceMonitor_1000P[[#This Row],[Amount Produced]]/ResourceMonitor_1000P[[#This Row],[Production Target]],0)</f>
        <v>0</v>
      </c>
      <c r="W30" s="133" t="s">
        <v>242</v>
      </c>
      <c r="X30" s="47">
        <f>IF(ResourceMonitor_1000P[[#This Row],[Ignore shipping needs?]]="Yes",0,ROUNDUP(ResourceMonitor_1000P[[#This Row],[Production Target]]/INDEX(ShipRequirementCalculator[Cargo capacity/h (return, 50% empty)],MATCH($X$15,ShipRequirementCalculator[Ship],0)),0))</f>
        <v>0</v>
      </c>
      <c r="Y30" s="47">
        <f>IF(ResourceMonitor_1000P[[#This Row],[Ignore shipping needs?]]="Yes",0,ROUNDUP(ResourceMonitor_1000P[[#This Row],[Production Target]]/INDEX(ShipRequirementCalculator[Cargo capacity/h (return, 50% empty)],MATCH($Y$15,ShipRequirementCalculator[Ship],0)),0))</f>
        <v>0</v>
      </c>
      <c r="Z30" s="47">
        <f>IF(ResourceMonitor_1000P[[#This Row],[Ignore shipping needs?]]="Yes",0,ROUNDUP(ResourceMonitor_1000P[[#This Row],[Production Target]]/INDEX(ShipRequirementCalculator[Cargo capacity/h (return, 50% empty)],MATCH($Z$15,ShipRequirementCalculator[Ship],0)),0))</f>
        <v>0</v>
      </c>
      <c r="AA30" s="124"/>
      <c r="AC30" s="102" t="s">
        <v>72</v>
      </c>
      <c r="AD30" s="36">
        <f>ROW()</f>
        <v>30</v>
      </c>
      <c r="AE30" s="74">
        <v>5</v>
      </c>
      <c r="AF30" s="50" t="s">
        <v>71</v>
      </c>
      <c r="AG30" s="50"/>
      <c r="AH30" s="74">
        <v>5</v>
      </c>
      <c r="AI30" s="156">
        <f>IFERROR(IslandModel_1000P[[#This Row],[Quantity]]/IslandModel_1000P[[#This Row],[Target Quantity]],0)</f>
        <v>1</v>
      </c>
      <c r="AJ30" s="20" t="str">
        <f>IFERROR(INDEX(Production[Resource Produced],MATCH(IslandModel_1000P[[#This Row],[Building]],Production[Building],0)),"")</f>
        <v>Linen</v>
      </c>
      <c r="AK30" s="14">
        <f>IFERROR(IslandModel_1000P[[#This Row],[Quantity]]*INDEX(Production[Production in 1h],MATCH(IslandModel_1000P[[#This Row],[Building]],Production[Building],0))*IslandModel_1000P[[#This Row],[Input Consumption Multiplier]],0)</f>
        <v>135</v>
      </c>
      <c r="AL30" s="90">
        <f>100%</f>
        <v>1</v>
      </c>
      <c r="AM30"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Linseed: 270/300</v>
      </c>
      <c r="AN30" s="35" t="str">
        <f>IFERROR(INDEX(Production[Input 1],MATCH(IslandModel_1000P[[#This Row],[Building]],Production[Building],0)),"")</f>
        <v>Land tile</v>
      </c>
      <c r="AO30" s="18"/>
      <c r="AP30" s="41">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5</v>
      </c>
      <c r="AQ30"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2675</v>
      </c>
      <c r="AR30" s="41">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4.5</v>
      </c>
      <c r="AS30" s="35" t="str">
        <f>IFERROR(INDEX(Production[Input 2],MATCH(IslandModel_1000P[[#This Row],[Building]],Production[Building],0)),"")</f>
        <v>Linseed</v>
      </c>
      <c r="AT30" s="18"/>
      <c r="AU30"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300</v>
      </c>
      <c r="AV30"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270</v>
      </c>
      <c r="AW30"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270</v>
      </c>
      <c r="AX30" s="35">
        <f>IFERROR(INDEX(Production[Input 3],MATCH(IslandModel_1000P[[#This Row],[Building]],Production[Building],0)),"")</f>
        <v>0</v>
      </c>
      <c r="AY30" s="18"/>
      <c r="AZ30"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30"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30"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30" s="35">
        <f>IFERROR(INDEX(Production[Input 4],MATCH(IslandModel_1000P[[#This Row],[Building]],Production[Building],0)),"")</f>
        <v>0</v>
      </c>
      <c r="BD30" s="18"/>
      <c r="BE30"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30"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30" s="41">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30" s="35">
        <f>IFERROR(INDEX(Production[Input 5],MATCH(IslandModel_1000P[[#This Row],[Building]],Production[Building],0)),"")</f>
        <v>0</v>
      </c>
      <c r="BI30" s="18"/>
      <c r="BJ30"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30"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30" s="41">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30" s="35">
        <f>IFERROR(INDEX(Production[Input 6],MATCH(IslandModel_1000P[[#This Row],[Building]],Production[Building],0)),"")</f>
        <v>0</v>
      </c>
      <c r="BN30" s="18"/>
      <c r="BO30"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30"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30" s="41">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30" s="35">
        <f>IFERROR(INDEX(Production[Input 7],MATCH(IslandModel_1000P[[#This Row],[Building]],Production[Building],0)),"")</f>
        <v>0</v>
      </c>
      <c r="BS30" s="18"/>
      <c r="BT30"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30"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30" s="41">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30" s="35">
        <f>IFERROR(INDEX(Production[Input 8],MATCH(IslandModel_1000P[[#This Row],[Building]],Production[Building],0)),"")</f>
        <v>0</v>
      </c>
      <c r="BX30" s="18"/>
      <c r="BY30"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30"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30" s="41">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30" s="35">
        <f>IFERROR(INDEX(Production[Input 9],MATCH(IslandModel_1000P[[#This Row],[Building]],Production[Building],0)),"")</f>
        <v>0</v>
      </c>
      <c r="CC30" s="18"/>
      <c r="CD30"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30"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30" s="41">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30" s="35">
        <f>IFERROR(INDEX(Production[Input 10],MATCH(IslandModel_1000P[[#This Row],[Building]],Production[Building],0)),"")</f>
        <v>0</v>
      </c>
      <c r="CH30" s="18"/>
      <c r="CI30"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30"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30" s="41">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30" s="48">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0.9</v>
      </c>
      <c r="CM30" s="34" t="str">
        <f>IslandModel_1000P[[#This Row],[Resource Produced]]</f>
        <v>Linen</v>
      </c>
      <c r="CN30" s="42">
        <f>IslandModel_1000P[[#This Row],[Amount produced/h]]</f>
        <v>135</v>
      </c>
      <c r="CO30" s="42" t="str">
        <f>IslandModel_1000P[[#This Row],[Input 1]]</f>
        <v>Land tile</v>
      </c>
      <c r="CP30" s="42">
        <f>-IslandModel_1000P[[#This Row],[Input 1 Consumed]]</f>
        <v>-4.5</v>
      </c>
      <c r="CQ30" s="42" t="str">
        <f>IslandModel_1000P[[#This Row],[Input 2]]</f>
        <v>Linseed</v>
      </c>
      <c r="CR30" s="42">
        <f>-IslandModel_1000P[[#This Row],[Input 2 Consumed]]</f>
        <v>-270</v>
      </c>
      <c r="CS30" s="42">
        <f>IslandModel_1000P[[#This Row],[Input 3]]</f>
        <v>0</v>
      </c>
      <c r="CT30" s="42">
        <f>-IslandModel_1000P[[#This Row],[Input 3 Consumed]]</f>
        <v>0</v>
      </c>
      <c r="CU30" s="42">
        <f>IslandModel_1000P[[#This Row],[Input 4]]</f>
        <v>0</v>
      </c>
      <c r="CV30" s="42">
        <f>-IslandModel_1000P[[#This Row],[Input 4 Consumed]]</f>
        <v>0</v>
      </c>
      <c r="CW30" s="42">
        <f>IslandModel_1000P[[#This Row],[Input 5]]</f>
        <v>0</v>
      </c>
      <c r="CX30" s="42">
        <f>-IslandModel_1000P[[#This Row],[Input 5 Consumed]]</f>
        <v>0</v>
      </c>
      <c r="CY30" s="42">
        <f>IslandModel_1000P[[#This Row],[Input 6]]</f>
        <v>0</v>
      </c>
      <c r="CZ30" s="42">
        <f>-IslandModel_1000P[[#This Row],[Input 6 Consumed]]</f>
        <v>0</v>
      </c>
      <c r="DA30" s="42">
        <f>IslandModel_1000P[[#This Row],[Input 7]]</f>
        <v>0</v>
      </c>
      <c r="DB30" s="42">
        <f>-IslandModel_1000P[[#This Row],[Input 7 Consumed]]</f>
        <v>0</v>
      </c>
      <c r="DC30" s="42">
        <f>IslandModel_1000P[[#This Row],[Input 8]]</f>
        <v>0</v>
      </c>
      <c r="DD30" s="42">
        <f>-IslandModel_1000P[[#This Row],[Input 8 Consumed]]</f>
        <v>0</v>
      </c>
      <c r="DE30" s="42">
        <f>IslandModel_1000P[[#This Row],[Input 9]]</f>
        <v>0</v>
      </c>
      <c r="DF30" s="42">
        <f>-IslandModel_1000P[[#This Row],[Input 9 Consumed]]</f>
        <v>0</v>
      </c>
      <c r="DG30" s="42">
        <f>IslandModel_1000P[[#This Row],[Input 10]]</f>
        <v>0</v>
      </c>
      <c r="DH30" s="42">
        <f>-IslandModel_1000P[[#This Row],[Input 10 Consumed]]</f>
        <v>0</v>
      </c>
      <c r="DJ30" s="55" t="s">
        <v>660</v>
      </c>
      <c r="DK30" s="39">
        <f>SUM(SUMIFS(IslandModel_1000P[Resource 1 Qty],IslandModel_1000P[Resource 1],ResourceAvailable_1000P[[#This Row],[Resource]]))</f>
        <v>187.5</v>
      </c>
      <c r="DL30"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30" s="39">
        <f>ResourceAvailable_1000P[[#This Row],[Amount Produced]]-ResourceAvailable_1000P[[#This Row],[Amount Consumed]]</f>
        <v>187.5</v>
      </c>
      <c r="DN30" s="20">
        <f>MAX(0,ResourceAvailable_1000P[[#This Row],[Amount Available for Resident Consumption]]-SUMIFS(ConsumptionModel_1000P[Resource Demand],ConsumptionModel_1000P[Resource],ResourceAvailable_1000P[[#This Row],[Resource]]))</f>
        <v>3.8999999999999773</v>
      </c>
    </row>
    <row r="31" spans="2:118" ht="21.4" thickBot="1" x14ac:dyDescent="0.7">
      <c r="B31" s="181">
        <f>ROW()</f>
        <v>31</v>
      </c>
      <c r="C31" s="182">
        <f>INDEX(ConsumptionModelInputs_1000P[Quantity],MATCH(ConsumptionModel_1000P[[#This Row],[Building]],ConsumptionModelInputs_1000P[Building],0))</f>
        <v>10</v>
      </c>
      <c r="D31" s="183" t="s">
        <v>56</v>
      </c>
      <c r="E31" s="183" t="s">
        <v>331</v>
      </c>
      <c r="F31" s="192" t="str">
        <f>IF(OR(ISBLANK(ConsumptionModel_1000P[[#This Row],[Building]]),ISBLANK(ConsumptionModel_1000P[[#This Row],[Resource]]))," - ",INDEX(Consumption[Type],MATCH(ConsumptionModel_1000P[[#This Row],[LookupValue]],Consumption[LookupValue],0)))</f>
        <v>Luxury</v>
      </c>
      <c r="G31" s="185" t="str">
        <f>IF(OR(ISBLANK(ConsumptionModel_1000P[[#This Row],[Building]]),ISBLANK(ConsumptionModel_1000P[[#This Row],[Resource]]))," - ",ConsumptionModel_1000P[[#This Row],[Building]]&amp;" - "&amp;ConsumptionModel_1000P[[#This Row],[Resource]])</f>
        <v>Colonist's House - Community</v>
      </c>
      <c r="H31" s="186">
        <f>ConsumptionModel_1000P[[#This Row],[Quantity]]*INDEX(Consumption[Consumption/person/h],MATCH(ConsumptionModel_1000P[[#This Row],[LookupValue]],Consumption[LookupValue],0))*IFERROR(INDEX(ResidentBuildings[Residents],MATCH(ConsumptionModel_1000P[[#This Row],[Building]],ResidentBuildings[Building],0)),0)</f>
        <v>0</v>
      </c>
      <c r="I31" s="186">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2</v>
      </c>
      <c r="J31" s="193">
        <f>IF(ConsumptionModel_1000P[[#This Row],[Quantity]]=0,"",IF(AND(ConsumptionModel_1000P[[#This Row],[Resource Demand]]=0,ConsumptionModel_1000P[[#This Row],[Resource Available]]&gt;0),1,MIN(1,IFERROR(ConsumptionModel_1000P[[#This Row],[Resource Available]]/ConsumptionModel_1000P[[#This Row],[Resource Demand]],0))))</f>
        <v>1</v>
      </c>
      <c r="K31" s="188">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5.625</v>
      </c>
      <c r="N31" s="7"/>
      <c r="O31" s="196" t="s">
        <v>137</v>
      </c>
      <c r="P31" s="71">
        <f>SUMIFS(ResourceAvailable_1000P[Amount Produced],ResourceAvailable_1000P[Resource],ResourceMonitor_1000P[[#This Row],[Resource]])</f>
        <v>165</v>
      </c>
      <c r="Q31" s="71">
        <f>SUMIFS(ResourceAvailable_1000P[Amount Consumed],ResourceAvailable_1000P[Resource],ResourceMonitor_1000P[[#This Row],[Resource]])</f>
        <v>0</v>
      </c>
      <c r="R31" s="71">
        <f>SUMIFS(ResourceAvailable_1000P[Amount Available for Resident Consumption],ResourceAvailable_1000P[Resource],ResourceMonitor_1000P[[#This Row],[Resource]])</f>
        <v>165</v>
      </c>
      <c r="S31" s="39">
        <f>MAX(0,ResourceMonitor_1000P[[#This Row],[Amount Available for Resident Consumption]]-SUMIFS(ConsumptionModel_1000P[Resource Demand],ConsumptionModel_1000P[Resource],ResourceMonitor_1000P[[#This Row],[Resource]]))</f>
        <v>6.5999999999999943</v>
      </c>
      <c r="T31" s="39">
        <f>MIN(0,ResourceMonitor_1000P[[#This Row],[Amount Available for Resident Consumption]]-SUMIFS(ConsumptionModel_1000P[Resource Demand],ConsumptionModel_1000P[Resource],ResourceMonitor_1000P[[#This Row],[Resource]]))</f>
        <v>0</v>
      </c>
      <c r="U31" s="122">
        <f>IFERROR(INDEX(#REF!,MATCH(ResourceMonitor_1000P[[#This Row],[Resource]],#REF!,0)),0)</f>
        <v>0</v>
      </c>
      <c r="V31" s="194">
        <f>IFERROR(ResourceMonitor_1000P[[#This Row],[Amount Produced]]/ResourceMonitor_1000P[[#This Row],[Production Target]],0)</f>
        <v>0</v>
      </c>
      <c r="W31" s="133"/>
      <c r="X31" s="47">
        <f>IF(ResourceMonitor_1000P[[#This Row],[Ignore shipping needs?]]="Yes",0,ROUNDUP(ResourceMonitor_1000P[[#This Row],[Production Target]]/INDEX(ShipRequirementCalculator[Cargo capacity/h (return, 50% empty)],MATCH($X$15,ShipRequirementCalculator[Ship],0)),0))</f>
        <v>0</v>
      </c>
      <c r="Y31" s="47">
        <f>IF(ResourceMonitor_1000P[[#This Row],[Ignore shipping needs?]]="Yes",0,ROUNDUP(ResourceMonitor_1000P[[#This Row],[Production Target]]/INDEX(ShipRequirementCalculator[Cargo capacity/h (return, 50% empty)],MATCH($Y$15,ShipRequirementCalculator[Ship],0)),0))</f>
        <v>0</v>
      </c>
      <c r="Z31" s="47">
        <f>IF(ResourceMonitor_1000P[[#This Row],[Ignore shipping needs?]]="Yes",0,ROUNDUP(ResourceMonitor_1000P[[#This Row],[Production Target]]/INDEX(ShipRequirementCalculator[Cargo capacity/h (return, 50% empty)],MATCH($Z$15,ShipRequirementCalculator[Ship],0)),0))</f>
        <v>0</v>
      </c>
      <c r="AA31" s="124"/>
      <c r="AC31" s="102" t="s">
        <v>331</v>
      </c>
      <c r="AD31" s="36">
        <f>ROW()</f>
        <v>31</v>
      </c>
      <c r="AE31" s="74">
        <v>2</v>
      </c>
      <c r="AF31" s="18" t="s">
        <v>334</v>
      </c>
      <c r="AG31" s="18"/>
      <c r="AH31" s="74">
        <v>2</v>
      </c>
      <c r="AI31" s="156">
        <f>IFERROR(IslandModel_1000P[[#This Row],[Quantity]]/IslandModel_1000P[[#This Row],[Target Quantity]],0)</f>
        <v>1</v>
      </c>
      <c r="AJ31" s="20" t="str">
        <f>IFERROR(INDEX(Production[Resource Produced],MATCH(IslandModel_1000P[[#This Row],[Building]],Production[Building],0)),"")</f>
        <v>Community</v>
      </c>
      <c r="AK31" s="14">
        <f>IFERROR(IslandModel_1000P[[#This Row],[Quantity]]*INDEX(Production[Production in 1h],MATCH(IslandModel_1000P[[#This Row],[Building]],Production[Building],0))*IslandModel_1000P[[#This Row],[Input Consumption Multiplier]],0)</f>
        <v>2</v>
      </c>
      <c r="AL31" s="90">
        <f>100%</f>
        <v>1</v>
      </c>
      <c r="AM31"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31" s="35" t="str">
        <f>IFERROR(INDEX(Production[Input 1],MATCH(IslandModel_1000P[[#This Row],[Building]],Production[Building],0)),"")</f>
        <v>Land tile</v>
      </c>
      <c r="AO31" s="18"/>
      <c r="AP31" s="41">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v>
      </c>
      <c r="AQ31"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2670.5</v>
      </c>
      <c r="AR31" s="41">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v>
      </c>
      <c r="AS31" s="35">
        <f>IFERROR(INDEX(Production[Input 2],MATCH(IslandModel_1000P[[#This Row],[Building]],Production[Building],0)),"")</f>
        <v>0</v>
      </c>
      <c r="AT31" s="18"/>
      <c r="AU31"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31"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31"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31" s="35">
        <f>IFERROR(INDEX(Production[Input 3],MATCH(IslandModel_1000P[[#This Row],[Building]],Production[Building],0)),"")</f>
        <v>0</v>
      </c>
      <c r="AY31" s="18"/>
      <c r="AZ31"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31"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31"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31" s="35">
        <f>IFERROR(INDEX(Production[Input 4],MATCH(IslandModel_1000P[[#This Row],[Building]],Production[Building],0)),"")</f>
        <v>0</v>
      </c>
      <c r="BD31" s="18"/>
      <c r="BE31"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31"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31" s="41">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31" s="35">
        <f>IFERROR(INDEX(Production[Input 5],MATCH(IslandModel_1000P[[#This Row],[Building]],Production[Building],0)),"")</f>
        <v>0</v>
      </c>
      <c r="BI31" s="18"/>
      <c r="BJ31"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31"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31" s="41">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31" s="35">
        <f>IFERROR(INDEX(Production[Input 6],MATCH(IslandModel_1000P[[#This Row],[Building]],Production[Building],0)),"")</f>
        <v>0</v>
      </c>
      <c r="BN31" s="18"/>
      <c r="BO31"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31"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31" s="41">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31" s="35">
        <f>IFERROR(INDEX(Production[Input 7],MATCH(IslandModel_1000P[[#This Row],[Building]],Production[Building],0)),"")</f>
        <v>0</v>
      </c>
      <c r="BS31" s="18"/>
      <c r="BT31"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31"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31" s="41">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31" s="35">
        <f>IFERROR(INDEX(Production[Input 8],MATCH(IslandModel_1000P[[#This Row],[Building]],Production[Building],0)),"")</f>
        <v>0</v>
      </c>
      <c r="BX31" s="18"/>
      <c r="BY31"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31"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31" s="41">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31" s="35">
        <f>IFERROR(INDEX(Production[Input 9],MATCH(IslandModel_1000P[[#This Row],[Building]],Production[Building],0)),"")</f>
        <v>0</v>
      </c>
      <c r="CC31" s="18"/>
      <c r="CD31"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31"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31" s="41">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31" s="35">
        <f>IFERROR(INDEX(Production[Input 10],MATCH(IslandModel_1000P[[#This Row],[Building]],Production[Building],0)),"")</f>
        <v>0</v>
      </c>
      <c r="CH31" s="18"/>
      <c r="CI31"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31"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31" s="41">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31" s="48">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31" s="34" t="str">
        <f>IslandModel_1000P[[#This Row],[Resource Produced]]</f>
        <v>Community</v>
      </c>
      <c r="CN31" s="42">
        <f>IslandModel_1000P[[#This Row],[Amount produced/h]]</f>
        <v>2</v>
      </c>
      <c r="CO31" s="42" t="str">
        <f>IslandModel_1000P[[#This Row],[Input 1]]</f>
        <v>Land tile</v>
      </c>
      <c r="CP31" s="42">
        <f>-IslandModel_1000P[[#This Row],[Input 1 Consumed]]</f>
        <v>-2</v>
      </c>
      <c r="CQ31" s="42">
        <f>IslandModel_1000P[[#This Row],[Input 2]]</f>
        <v>0</v>
      </c>
      <c r="CR31" s="42">
        <f>-IslandModel_1000P[[#This Row],[Input 2 Consumed]]</f>
        <v>0</v>
      </c>
      <c r="CS31" s="42">
        <f>IslandModel_1000P[[#This Row],[Input 3]]</f>
        <v>0</v>
      </c>
      <c r="CT31" s="42">
        <f>-IslandModel_1000P[[#This Row],[Input 3 Consumed]]</f>
        <v>0</v>
      </c>
      <c r="CU31" s="42">
        <f>IslandModel_1000P[[#This Row],[Input 4]]</f>
        <v>0</v>
      </c>
      <c r="CV31" s="42">
        <f>-IslandModel_1000P[[#This Row],[Input 4 Consumed]]</f>
        <v>0</v>
      </c>
      <c r="CW31" s="42">
        <f>IslandModel_1000P[[#This Row],[Input 5]]</f>
        <v>0</v>
      </c>
      <c r="CX31" s="42">
        <f>-IslandModel_1000P[[#This Row],[Input 5 Consumed]]</f>
        <v>0</v>
      </c>
      <c r="CY31" s="42">
        <f>IslandModel_1000P[[#This Row],[Input 6]]</f>
        <v>0</v>
      </c>
      <c r="CZ31" s="42">
        <f>-IslandModel_1000P[[#This Row],[Input 6 Consumed]]</f>
        <v>0</v>
      </c>
      <c r="DA31" s="42">
        <f>IslandModel_1000P[[#This Row],[Input 7]]</f>
        <v>0</v>
      </c>
      <c r="DB31" s="42">
        <f>-IslandModel_1000P[[#This Row],[Input 7 Consumed]]</f>
        <v>0</v>
      </c>
      <c r="DC31" s="42">
        <f>IslandModel_1000P[[#This Row],[Input 8]]</f>
        <v>0</v>
      </c>
      <c r="DD31" s="42">
        <f>-IslandModel_1000P[[#This Row],[Input 8 Consumed]]</f>
        <v>0</v>
      </c>
      <c r="DE31" s="42">
        <f>IslandModel_1000P[[#This Row],[Input 9]]</f>
        <v>0</v>
      </c>
      <c r="DF31" s="42">
        <f>-IslandModel_1000P[[#This Row],[Input 9 Consumed]]</f>
        <v>0</v>
      </c>
      <c r="DG31" s="42">
        <f>IslandModel_1000P[[#This Row],[Input 10]]</f>
        <v>0</v>
      </c>
      <c r="DH31" s="42">
        <f>-IslandModel_1000P[[#This Row],[Input 10 Consumed]]</f>
        <v>0</v>
      </c>
      <c r="DJ31" t="s">
        <v>376</v>
      </c>
      <c r="DK31" s="39">
        <f>SUM(SUMIFS(IslandModel_1000P[Resource 1 Qty],IslandModel_1000P[Resource 1],ResourceAvailable_1000P[[#This Row],[Resource]]))</f>
        <v>187.5</v>
      </c>
      <c r="DL31"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187.5</v>
      </c>
      <c r="DM31" s="39">
        <f>ResourceAvailable_1000P[[#This Row],[Amount Produced]]-ResourceAvailable_1000P[[#This Row],[Amount Consumed]]</f>
        <v>0</v>
      </c>
      <c r="DN31" s="20">
        <f>MAX(0,ResourceAvailable_1000P[[#This Row],[Amount Available for Resident Consumption]]-SUMIFS(ConsumptionModel_1000P[Resource Demand],ConsumptionModel_1000P[Resource],ResourceAvailable_1000P[[#This Row],[Resource]]))</f>
        <v>0</v>
      </c>
    </row>
    <row r="32" spans="2:118" ht="21" x14ac:dyDescent="0.65">
      <c r="B32" s="170">
        <f>ROW()</f>
        <v>32</v>
      </c>
      <c r="C32" s="171">
        <f>INDEX(ConsumptionModelInputs_1000P[Quantity],MATCH(ConsumptionModel_1000P[[#This Row],[Building]],ConsumptionModelInputs_1000P[Building],0))</f>
        <v>10</v>
      </c>
      <c r="D32" s="172" t="s">
        <v>57</v>
      </c>
      <c r="E32" s="172" t="s">
        <v>330</v>
      </c>
      <c r="F32" s="189" t="str">
        <f>IF(OR(ISBLANK(ConsumptionModel_1000P[[#This Row],[Building]]),ISBLANK(ConsumptionModel_1000P[[#This Row],[Resource]]))," - ",INDEX(Consumption[Type],MATCH(ConsumptionModel_1000P[[#This Row],[LookupValue]],Consumption[LookupValue],0)))</f>
        <v>Need</v>
      </c>
      <c r="G32" s="174" t="str">
        <f>IF(OR(ISBLANK(ConsumptionModel_1000P[[#This Row],[Building]]),ISBLANK(ConsumptionModel_1000P[[#This Row],[Resource]]))," - ",ConsumptionModel_1000P[[#This Row],[Building]]&amp;" - "&amp;ConsumptionModel_1000P[[#This Row],[Resource]])</f>
        <v>Townsmen's House - Water</v>
      </c>
      <c r="H32" s="175">
        <f>ConsumptionModel_1000P[[#This Row],[Quantity]]*INDEX(Consumption[Consumption/person/h],MATCH(ConsumptionModel_1000P[[#This Row],[LookupValue]],Consumption[LookupValue],0))*IFERROR(INDEX(ResidentBuildings[Residents],MATCH(ConsumptionModel_1000P[[#This Row],[Building]],ResidentBuildings[Building],0)),0)</f>
        <v>0</v>
      </c>
      <c r="I32" s="175">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4</v>
      </c>
      <c r="J32" s="190">
        <f>IF(ConsumptionModel_1000P[[#This Row],[Quantity]]=0,"",IF(AND(ConsumptionModel_1000P[[#This Row],[Resource Demand]]=0,ConsumptionModel_1000P[[#This Row],[Resource Available]]&gt;0),1,MIN(1,IFERROR(ConsumptionModel_1000P[[#This Row],[Resource Available]]/ConsumptionModel_1000P[[#This Row],[Resource Demand]],0))))</f>
        <v>1</v>
      </c>
      <c r="K32" s="177">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32" s="196" t="s">
        <v>146</v>
      </c>
      <c r="P32" s="71">
        <f>SUMIFS(ResourceAvailable_1000P[Amount Produced],ResourceAvailable_1000P[Resource],ResourceMonitor_1000P[[#This Row],[Resource]])</f>
        <v>320</v>
      </c>
      <c r="Q32" s="71">
        <f>SUMIFS(ResourceAvailable_1000P[Amount Consumed],ResourceAvailable_1000P[Resource],ResourceMonitor_1000P[[#This Row],[Resource]])</f>
        <v>0</v>
      </c>
      <c r="R32" s="71">
        <f>SUMIFS(ResourceAvailable_1000P[Amount Available for Resident Consumption],ResourceAvailable_1000P[Resource],ResourceMonitor_1000P[[#This Row],[Resource]])</f>
        <v>320</v>
      </c>
      <c r="S32" s="39">
        <f>MAX(0,ResourceMonitor_1000P[[#This Row],[Amount Available for Resident Consumption]]-SUMIFS(ConsumptionModel_1000P[Resource Demand],ConsumptionModel_1000P[Resource],ResourceMonitor_1000P[[#This Row],[Resource]]))</f>
        <v>3.1999999999999886</v>
      </c>
      <c r="T32" s="39">
        <f>MIN(0,ResourceMonitor_1000P[[#This Row],[Amount Available for Resident Consumption]]-SUMIFS(ConsumptionModel_1000P[Resource Demand],ConsumptionModel_1000P[Resource],ResourceMonitor_1000P[[#This Row],[Resource]]))</f>
        <v>0</v>
      </c>
      <c r="U32" s="122">
        <f>IFERROR(INDEX(#REF!,MATCH(ResourceMonitor_1000P[[#This Row],[Resource]],#REF!,0)),0)</f>
        <v>0</v>
      </c>
      <c r="V32" s="194">
        <f>IFERROR(ResourceMonitor_1000P[[#This Row],[Amount Produced]]/ResourceMonitor_1000P[[#This Row],[Production Target]],0)</f>
        <v>0</v>
      </c>
      <c r="W32" s="133"/>
      <c r="X32" s="47">
        <f>IF(ResourceMonitor_1000P[[#This Row],[Ignore shipping needs?]]="Yes",0,ROUNDUP(ResourceMonitor_1000P[[#This Row],[Production Target]]/INDEX(ShipRequirementCalculator[Cargo capacity/h (return, 50% empty)],MATCH($X$15,ShipRequirementCalculator[Ship],0)),0))</f>
        <v>0</v>
      </c>
      <c r="Y32" s="47">
        <f>IF(ResourceMonitor_1000P[[#This Row],[Ignore shipping needs?]]="Yes",0,ROUNDUP(ResourceMonitor_1000P[[#This Row],[Production Target]]/INDEX(ShipRequirementCalculator[Cargo capacity/h (return, 50% empty)],MATCH($Y$15,ShipRequirementCalculator[Ship],0)),0))</f>
        <v>0</v>
      </c>
      <c r="Z32" s="47">
        <f>IF(ResourceMonitor_1000P[[#This Row],[Ignore shipping needs?]]="Yes",0,ROUNDUP(ResourceMonitor_1000P[[#This Row],[Production Target]]/INDEX(ShipRequirementCalculator[Cargo capacity/h (return, 50% empty)],MATCH($Z$15,ShipRequirementCalculator[Ship],0)),0))</f>
        <v>0</v>
      </c>
      <c r="AA32" s="124"/>
      <c r="AC32" s="102" t="s">
        <v>367</v>
      </c>
      <c r="AD32" s="36">
        <f>ROW()</f>
        <v>32</v>
      </c>
      <c r="AE32" s="74">
        <f>AE33*8</f>
        <v>0</v>
      </c>
      <c r="AF32" s="50" t="s">
        <v>889</v>
      </c>
      <c r="AG32" s="18"/>
      <c r="AH32" s="74">
        <f>AH33*8</f>
        <v>0</v>
      </c>
      <c r="AI32" s="156">
        <f>IFERROR(IslandModel_1000P[[#This Row],[Quantity]]/IslandModel_1000P[[#This Row],[Target Quantity]],0)</f>
        <v>0</v>
      </c>
      <c r="AJ32" s="20" t="str">
        <f>IFERROR(INDEX(Production[Resource Produced],MATCH(IslandModel_1000P[[#This Row],[Building]],Production[Building],0)),"")</f>
        <v>Sheep Field</v>
      </c>
      <c r="AK32" s="14">
        <f>IFERROR(IslandModel_1000P[[#This Row],[Quantity]]*INDEX(Production[Production in 1h],MATCH(IslandModel_1000P[[#This Row],[Building]],Production[Building],0))*IslandModel_1000P[[#This Row],[Input Consumption Multiplier]],0)</f>
        <v>0</v>
      </c>
      <c r="AL32" s="90">
        <f>100%</f>
        <v>1</v>
      </c>
      <c r="AM32"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32" s="35" t="str">
        <f>IFERROR(INDEX(Production[Input 1],MATCH(IslandModel_1000P[[#This Row],[Building]],Production[Building],0)),"")</f>
        <v>Land tile</v>
      </c>
      <c r="AO32" s="18"/>
      <c r="AP32" s="41">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32"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2668.5</v>
      </c>
      <c r="AR32" s="41">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32" s="35">
        <f>IFERROR(INDEX(Production[Input 2],MATCH(IslandModel_1000P[[#This Row],[Building]],Production[Building],0)),"")</f>
        <v>0</v>
      </c>
      <c r="AT32" s="18"/>
      <c r="AU32"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32"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32"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32" s="35">
        <f>IFERROR(INDEX(Production[Input 3],MATCH(IslandModel_1000P[[#This Row],[Building]],Production[Building],0)),"")</f>
        <v>0</v>
      </c>
      <c r="AY32" s="18"/>
      <c r="AZ32"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32"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32"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32" s="35">
        <f>IFERROR(INDEX(Production[Input 4],MATCH(IslandModel_1000P[[#This Row],[Building]],Production[Building],0)),"")</f>
        <v>0</v>
      </c>
      <c r="BD32" s="18"/>
      <c r="BE32"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32"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32" s="41">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32" s="35">
        <f>IFERROR(INDEX(Production[Input 5],MATCH(IslandModel_1000P[[#This Row],[Building]],Production[Building],0)),"")</f>
        <v>0</v>
      </c>
      <c r="BI32" s="18"/>
      <c r="BJ32"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32"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32" s="41">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32" s="35">
        <f>IFERROR(INDEX(Production[Input 6],MATCH(IslandModel_1000P[[#This Row],[Building]],Production[Building],0)),"")</f>
        <v>0</v>
      </c>
      <c r="BN32" s="18"/>
      <c r="BO32"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32"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32" s="41">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32" s="35">
        <f>IFERROR(INDEX(Production[Input 7],MATCH(IslandModel_1000P[[#This Row],[Building]],Production[Building],0)),"")</f>
        <v>0</v>
      </c>
      <c r="BS32" s="18"/>
      <c r="BT32"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32"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32" s="41">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32" s="35">
        <f>IFERROR(INDEX(Production[Input 8],MATCH(IslandModel_1000P[[#This Row],[Building]],Production[Building],0)),"")</f>
        <v>0</v>
      </c>
      <c r="BX32" s="18"/>
      <c r="BY32"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32"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32" s="41">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32" s="35">
        <f>IFERROR(INDEX(Production[Input 9],MATCH(IslandModel_1000P[[#This Row],[Building]],Production[Building],0)),"")</f>
        <v>0</v>
      </c>
      <c r="CC32" s="18"/>
      <c r="CD32"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32"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32" s="41">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32" s="35">
        <f>IFERROR(INDEX(Production[Input 10],MATCH(IslandModel_1000P[[#This Row],[Building]],Production[Building],0)),"")</f>
        <v>0</v>
      </c>
      <c r="CH32" s="18"/>
      <c r="CI32"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32"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32" s="41">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32" s="48">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32" s="34" t="str">
        <f>IslandModel_1000P[[#This Row],[Resource Produced]]</f>
        <v>Sheep Field</v>
      </c>
      <c r="CN32" s="42">
        <f>IslandModel_1000P[[#This Row],[Amount produced/h]]</f>
        <v>0</v>
      </c>
      <c r="CO32" s="42" t="str">
        <f>IslandModel_1000P[[#This Row],[Input 1]]</f>
        <v>Land tile</v>
      </c>
      <c r="CP32" s="42">
        <f>-IslandModel_1000P[[#This Row],[Input 1 Consumed]]</f>
        <v>0</v>
      </c>
      <c r="CQ32" s="42">
        <f>IslandModel_1000P[[#This Row],[Input 2]]</f>
        <v>0</v>
      </c>
      <c r="CR32" s="42">
        <f>-IslandModel_1000P[[#This Row],[Input 2 Consumed]]</f>
        <v>0</v>
      </c>
      <c r="CS32" s="42">
        <f>IslandModel_1000P[[#This Row],[Input 3]]</f>
        <v>0</v>
      </c>
      <c r="CT32" s="42">
        <f>-IslandModel_1000P[[#This Row],[Input 3 Consumed]]</f>
        <v>0</v>
      </c>
      <c r="CU32" s="42">
        <f>IslandModel_1000P[[#This Row],[Input 4]]</f>
        <v>0</v>
      </c>
      <c r="CV32" s="42">
        <f>-IslandModel_1000P[[#This Row],[Input 4 Consumed]]</f>
        <v>0</v>
      </c>
      <c r="CW32" s="42">
        <f>IslandModel_1000P[[#This Row],[Input 5]]</f>
        <v>0</v>
      </c>
      <c r="CX32" s="42">
        <f>-IslandModel_1000P[[#This Row],[Input 5 Consumed]]</f>
        <v>0</v>
      </c>
      <c r="CY32" s="42">
        <f>IslandModel_1000P[[#This Row],[Input 6]]</f>
        <v>0</v>
      </c>
      <c r="CZ32" s="42">
        <f>-IslandModel_1000P[[#This Row],[Input 6 Consumed]]</f>
        <v>0</v>
      </c>
      <c r="DA32" s="42">
        <f>IslandModel_1000P[[#This Row],[Input 7]]</f>
        <v>0</v>
      </c>
      <c r="DB32" s="42">
        <f>-IslandModel_1000P[[#This Row],[Input 7 Consumed]]</f>
        <v>0</v>
      </c>
      <c r="DC32" s="42">
        <f>IslandModel_1000P[[#This Row],[Input 8]]</f>
        <v>0</v>
      </c>
      <c r="DD32" s="42">
        <f>-IslandModel_1000P[[#This Row],[Input 8 Consumed]]</f>
        <v>0</v>
      </c>
      <c r="DE32" s="42">
        <f>IslandModel_1000P[[#This Row],[Input 9]]</f>
        <v>0</v>
      </c>
      <c r="DF32" s="42">
        <f>-IslandModel_1000P[[#This Row],[Input 9 Consumed]]</f>
        <v>0</v>
      </c>
      <c r="DG32" s="42">
        <f>IslandModel_1000P[[#This Row],[Input 10]]</f>
        <v>0</v>
      </c>
      <c r="DH32" s="42">
        <f>-IslandModel_1000P[[#This Row],[Input 10 Consumed]]</f>
        <v>0</v>
      </c>
      <c r="DJ32" s="55" t="s">
        <v>389</v>
      </c>
      <c r="DK32" s="39">
        <f>SUM(SUMIFS(IslandModel_1000P[Resource 1 Qty],IslandModel_1000P[Resource 1],ResourceAvailable_1000P[[#This Row],[Resource]]))</f>
        <v>0</v>
      </c>
      <c r="DL32"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32" s="39">
        <f>ResourceAvailable_1000P[[#This Row],[Amount Produced]]-ResourceAvailable_1000P[[#This Row],[Amount Consumed]]</f>
        <v>0</v>
      </c>
      <c r="DN32" s="20">
        <f>MAX(0,ResourceAvailable_1000P[[#This Row],[Amount Available for Resident Consumption]]-SUMIFS(ConsumptionModel_1000P[Resource Demand],ConsumptionModel_1000P[Resource],ResourceAvailable_1000P[[#This Row],[Resource]]))</f>
        <v>0</v>
      </c>
    </row>
    <row r="33" spans="2:118" ht="21" x14ac:dyDescent="0.65">
      <c r="B33" s="178">
        <f>ROW()</f>
        <v>33</v>
      </c>
      <c r="C33" s="70">
        <f>INDEX(ConsumptionModelInputs_1000P[Quantity],MATCH(ConsumptionModel_1000P[[#This Row],[Building]],ConsumptionModelInputs_1000P[Building],0))</f>
        <v>10</v>
      </c>
      <c r="D33" s="179" t="s">
        <v>57</v>
      </c>
      <c r="E33" s="179" t="s">
        <v>331</v>
      </c>
      <c r="F33" s="191" t="str">
        <f>IF(OR(ISBLANK(ConsumptionModel_1000P[[#This Row],[Building]]),ISBLANK(ConsumptionModel_1000P[[#This Row],[Resource]]))," - ",INDEX(Consumption[Type],MATCH(ConsumptionModel_1000P[[#This Row],[LookupValue]],Consumption[LookupValue],0)))</f>
        <v>Need</v>
      </c>
      <c r="G33" s="61" t="str">
        <f>IF(OR(ISBLANK(ConsumptionModel_1000P[[#This Row],[Building]]),ISBLANK(ConsumptionModel_1000P[[#This Row],[Resource]]))," - ",ConsumptionModel_1000P[[#This Row],[Building]]&amp;" - "&amp;ConsumptionModel_1000P[[#This Row],[Resource]])</f>
        <v>Townsmen's House - Community</v>
      </c>
      <c r="H33" s="62">
        <f>ConsumptionModel_1000P[[#This Row],[Quantity]]*INDEX(Consumption[Consumption/person/h],MATCH(ConsumptionModel_1000P[[#This Row],[LookupValue]],Consumption[LookupValue],0))*IFERROR(INDEX(ResidentBuildings[Residents],MATCH(ConsumptionModel_1000P[[#This Row],[Building]],ResidentBuildings[Building],0)),0)</f>
        <v>0</v>
      </c>
      <c r="I33"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2</v>
      </c>
      <c r="J33" s="57">
        <f>IF(ConsumptionModel_1000P[[#This Row],[Quantity]]=0,"",IF(AND(ConsumptionModel_1000P[[#This Row],[Resource Demand]]=0,ConsumptionModel_1000P[[#This Row],[Resource Available]]&gt;0),1,MIN(1,IFERROR(ConsumptionModel_1000P[[#This Row],[Resource Available]]/ConsumptionModel_1000P[[#This Row],[Resource Demand]],0))))</f>
        <v>1</v>
      </c>
      <c r="K33"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33" s="196" t="s">
        <v>167</v>
      </c>
      <c r="P33" s="71">
        <f>SUMIFS(ResourceAvailable_1000P[Amount Produced],ResourceAvailable_1000P[Resource],ResourceMonitor_1000P[[#This Row],[Resource]])</f>
        <v>660</v>
      </c>
      <c r="Q33" s="71">
        <f>SUMIFS(ResourceAvailable_1000P[Amount Consumed],ResourceAvailable_1000P[Resource],ResourceMonitor_1000P[[#This Row],[Resource]])</f>
        <v>0</v>
      </c>
      <c r="R33" s="71">
        <f>SUMIFS(ResourceAvailable_1000P[Amount Available for Resident Consumption],ResourceAvailable_1000P[Resource],ResourceMonitor_1000P[[#This Row],[Resource]])</f>
        <v>660</v>
      </c>
      <c r="S33" s="39">
        <f>MAX(0,ResourceMonitor_1000P[[#This Row],[Amount Available for Resident Consumption]]-SUMIFS(ConsumptionModel_1000P[Resource Demand],ConsumptionModel_1000P[Resource],ResourceMonitor_1000P[[#This Row],[Resource]]))</f>
        <v>26.399999999999977</v>
      </c>
      <c r="T33" s="39">
        <f>MIN(0,ResourceMonitor_1000P[[#This Row],[Amount Available for Resident Consumption]]-SUMIFS(ConsumptionModel_1000P[Resource Demand],ConsumptionModel_1000P[Resource],ResourceMonitor_1000P[[#This Row],[Resource]]))</f>
        <v>0</v>
      </c>
      <c r="U33" s="122">
        <f>IFERROR(INDEX(#REF!,MATCH(ResourceMonitor_1000P[[#This Row],[Resource]],#REF!,0)),0)</f>
        <v>0</v>
      </c>
      <c r="V33" s="194">
        <f>IFERROR(ResourceMonitor_1000P[[#This Row],[Amount Produced]]/ResourceMonitor_1000P[[#This Row],[Production Target]],0)</f>
        <v>0</v>
      </c>
      <c r="W33" s="133"/>
      <c r="X33" s="47">
        <f>IF(ResourceMonitor_1000P[[#This Row],[Ignore shipping needs?]]="Yes",0,ROUNDUP(ResourceMonitor_1000P[[#This Row],[Production Target]]/INDEX(ShipRequirementCalculator[Cargo capacity/h (return, 50% empty)],MATCH($X$15,ShipRequirementCalculator[Ship],0)),0))</f>
        <v>0</v>
      </c>
      <c r="Y33" s="47">
        <f>IF(ResourceMonitor_1000P[[#This Row],[Ignore shipping needs?]]="Yes",0,ROUNDUP(ResourceMonitor_1000P[[#This Row],[Production Target]]/INDEX(ShipRequirementCalculator[Cargo capacity/h (return, 50% empty)],MATCH($Y$15,ShipRequirementCalculator[Ship],0)),0))</f>
        <v>0</v>
      </c>
      <c r="Z33" s="47">
        <f>IF(ResourceMonitor_1000P[[#This Row],[Ignore shipping needs?]]="Yes",0,ROUNDUP(ResourceMonitor_1000P[[#This Row],[Production Target]]/INDEX(ShipRequirementCalculator[Cargo capacity/h (return, 50% empty)],MATCH($Z$15,ShipRequirementCalculator[Ship],0)),0))</f>
        <v>0</v>
      </c>
      <c r="AA33" s="124"/>
      <c r="AC33" s="102" t="s">
        <v>367</v>
      </c>
      <c r="AD33" s="36">
        <f>ROW()</f>
        <v>33</v>
      </c>
      <c r="AE33" s="74"/>
      <c r="AF33" s="50" t="s">
        <v>99</v>
      </c>
      <c r="AG33" s="18"/>
      <c r="AH33" s="74"/>
      <c r="AI33" s="156">
        <f>IFERROR(IslandModel_1000P[[#This Row],[Quantity]]/IslandModel_1000P[[#This Row],[Target Quantity]],0)</f>
        <v>0</v>
      </c>
      <c r="AJ33" s="20" t="str">
        <f>IFERROR(INDEX(Production[Resource Produced],MATCH(IslandModel_1000P[[#This Row],[Building]],Production[Building],0)),"")</f>
        <v>Yarn</v>
      </c>
      <c r="AK33" s="14">
        <f>IFERROR(IslandModel_1000P[[#This Row],[Quantity]]*INDEX(Production[Production in 1h],MATCH(IslandModel_1000P[[#This Row],[Building]],Production[Building],0))*IslandModel_1000P[[#This Row],[Input Consumption Multiplier]],0)</f>
        <v>0</v>
      </c>
      <c r="AL33" s="90">
        <f>100%</f>
        <v>1</v>
      </c>
      <c r="AM33"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33" s="35" t="str">
        <f>IFERROR(INDEX(Production[Input 1],MATCH(IslandModel_1000P[[#This Row],[Building]],Production[Building],0)),"")</f>
        <v>Land tile</v>
      </c>
      <c r="AO33" s="18"/>
      <c r="AP33" s="41">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33"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2668.5</v>
      </c>
      <c r="AR33" s="41">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33" s="35" t="str">
        <f>IFERROR(INDEX(Production[Input 2],MATCH(IslandModel_1000P[[#This Row],[Building]],Production[Building],0)),"")</f>
        <v>Sheep Field</v>
      </c>
      <c r="AT33" s="18"/>
      <c r="AU33"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33"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33"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33" s="35">
        <f>IFERROR(INDEX(Production[Input 3],MATCH(IslandModel_1000P[[#This Row],[Building]],Production[Building],0)),"")</f>
        <v>0</v>
      </c>
      <c r="AY33" s="18"/>
      <c r="AZ33"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33"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33"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33" s="35">
        <f>IFERROR(INDEX(Production[Input 4],MATCH(IslandModel_1000P[[#This Row],[Building]],Production[Building],0)),"")</f>
        <v>0</v>
      </c>
      <c r="BD33" s="18"/>
      <c r="BE33"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33"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33" s="41">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33" s="35">
        <f>IFERROR(INDEX(Production[Input 5],MATCH(IslandModel_1000P[[#This Row],[Building]],Production[Building],0)),"")</f>
        <v>0</v>
      </c>
      <c r="BI33" s="18"/>
      <c r="BJ33"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33"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33" s="41">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33" s="35">
        <f>IFERROR(INDEX(Production[Input 6],MATCH(IslandModel_1000P[[#This Row],[Building]],Production[Building],0)),"")</f>
        <v>0</v>
      </c>
      <c r="BN33" s="18"/>
      <c r="BO33"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33"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33" s="41">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33" s="35">
        <f>IFERROR(INDEX(Production[Input 7],MATCH(IslandModel_1000P[[#This Row],[Building]],Production[Building],0)),"")</f>
        <v>0</v>
      </c>
      <c r="BS33" s="18"/>
      <c r="BT33"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33"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33" s="41">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33" s="35">
        <f>IFERROR(INDEX(Production[Input 8],MATCH(IslandModel_1000P[[#This Row],[Building]],Production[Building],0)),"")</f>
        <v>0</v>
      </c>
      <c r="BX33" s="18"/>
      <c r="BY33"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33"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33" s="41">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33" s="35">
        <f>IFERROR(INDEX(Production[Input 9],MATCH(IslandModel_1000P[[#This Row],[Building]],Production[Building],0)),"")</f>
        <v>0</v>
      </c>
      <c r="CC33" s="18"/>
      <c r="CD33"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33"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33" s="41">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33" s="35">
        <f>IFERROR(INDEX(Production[Input 10],MATCH(IslandModel_1000P[[#This Row],[Building]],Production[Building],0)),"")</f>
        <v>0</v>
      </c>
      <c r="CH33" s="18"/>
      <c r="CI33"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33"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33" s="41">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33" s="48">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33" s="34" t="str">
        <f>IslandModel_1000P[[#This Row],[Resource Produced]]</f>
        <v>Yarn</v>
      </c>
      <c r="CN33" s="42">
        <f>IslandModel_1000P[[#This Row],[Amount produced/h]]</f>
        <v>0</v>
      </c>
      <c r="CO33" s="42" t="str">
        <f>IslandModel_1000P[[#This Row],[Input 1]]</f>
        <v>Land tile</v>
      </c>
      <c r="CP33" s="42">
        <f>-IslandModel_1000P[[#This Row],[Input 1 Consumed]]</f>
        <v>0</v>
      </c>
      <c r="CQ33" s="42" t="str">
        <f>IslandModel_1000P[[#This Row],[Input 2]]</f>
        <v>Sheep Field</v>
      </c>
      <c r="CR33" s="42">
        <f>-IslandModel_1000P[[#This Row],[Input 2 Consumed]]</f>
        <v>0</v>
      </c>
      <c r="CS33" s="42">
        <f>IslandModel_1000P[[#This Row],[Input 3]]</f>
        <v>0</v>
      </c>
      <c r="CT33" s="42">
        <f>-IslandModel_1000P[[#This Row],[Input 3 Consumed]]</f>
        <v>0</v>
      </c>
      <c r="CU33" s="42">
        <f>IslandModel_1000P[[#This Row],[Input 4]]</f>
        <v>0</v>
      </c>
      <c r="CV33" s="42">
        <f>-IslandModel_1000P[[#This Row],[Input 4 Consumed]]</f>
        <v>0</v>
      </c>
      <c r="CW33" s="42">
        <f>IslandModel_1000P[[#This Row],[Input 5]]</f>
        <v>0</v>
      </c>
      <c r="CX33" s="42">
        <f>-IslandModel_1000P[[#This Row],[Input 5 Consumed]]</f>
        <v>0</v>
      </c>
      <c r="CY33" s="42">
        <f>IslandModel_1000P[[#This Row],[Input 6]]</f>
        <v>0</v>
      </c>
      <c r="CZ33" s="42">
        <f>-IslandModel_1000P[[#This Row],[Input 6 Consumed]]</f>
        <v>0</v>
      </c>
      <c r="DA33" s="42">
        <f>IslandModel_1000P[[#This Row],[Input 7]]</f>
        <v>0</v>
      </c>
      <c r="DB33" s="42">
        <f>-IslandModel_1000P[[#This Row],[Input 7 Consumed]]</f>
        <v>0</v>
      </c>
      <c r="DC33" s="42">
        <f>IslandModel_1000P[[#This Row],[Input 8]]</f>
        <v>0</v>
      </c>
      <c r="DD33" s="42">
        <f>-IslandModel_1000P[[#This Row],[Input 8 Consumed]]</f>
        <v>0</v>
      </c>
      <c r="DE33" s="42">
        <f>IslandModel_1000P[[#This Row],[Input 9]]</f>
        <v>0</v>
      </c>
      <c r="DF33" s="42">
        <f>-IslandModel_1000P[[#This Row],[Input 9 Consumed]]</f>
        <v>0</v>
      </c>
      <c r="DG33" s="42">
        <f>IslandModel_1000P[[#This Row],[Input 10]]</f>
        <v>0</v>
      </c>
      <c r="DH33" s="42">
        <f>-IslandModel_1000P[[#This Row],[Input 10 Consumed]]</f>
        <v>0</v>
      </c>
      <c r="DJ33" s="55" t="s">
        <v>19</v>
      </c>
      <c r="DK33" s="39">
        <f>SUM(SUMIFS(IslandModel_1000P[Resource 1 Qty],IslandModel_1000P[Resource 1],ResourceAvailable_1000P[[#This Row],[Resource]]))</f>
        <v>0</v>
      </c>
      <c r="DL33"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33" s="39">
        <f>ResourceAvailable_1000P[[#This Row],[Amount Produced]]-ResourceAvailable_1000P[[#This Row],[Amount Consumed]]</f>
        <v>0</v>
      </c>
      <c r="DN33" s="20">
        <f>MAX(0,ResourceAvailable_1000P[[#This Row],[Amount Available for Resident Consumption]]-SUMIFS(ConsumptionModel_1000P[Resource Demand],ConsumptionModel_1000P[Resource],ResourceAvailable_1000P[[#This Row],[Resource]]))</f>
        <v>0</v>
      </c>
    </row>
    <row r="34" spans="2:118" ht="21" x14ac:dyDescent="0.65">
      <c r="B34" s="178">
        <f>ROW()</f>
        <v>34</v>
      </c>
      <c r="C34" s="70">
        <f>INDEX(ConsumptionModelInputs_1000P[Quantity],MATCH(ConsumptionModel_1000P[[#This Row],[Building]],ConsumptionModelInputs_1000P[Building],0))</f>
        <v>10</v>
      </c>
      <c r="D34" s="179" t="s">
        <v>57</v>
      </c>
      <c r="E34" s="179" t="s">
        <v>63</v>
      </c>
      <c r="F34" s="191" t="str">
        <f>IF(OR(ISBLANK(ConsumptionModel_1000P[[#This Row],[Building]]),ISBLANK(ConsumptionModel_1000P[[#This Row],[Resource]]))," - ",INDEX(Consumption[Type],MATCH(ConsumptionModel_1000P[[#This Row],[LookupValue]],Consumption[LookupValue],0)))</f>
        <v>Need</v>
      </c>
      <c r="G34" s="61" t="str">
        <f>IF(OR(ISBLANK(ConsumptionModel_1000P[[#This Row],[Building]]),ISBLANK(ConsumptionModel_1000P[[#This Row],[Resource]]))," - ",ConsumptionModel_1000P[[#This Row],[Building]]&amp;" - "&amp;ConsumptionModel_1000P[[#This Row],[Resource]])</f>
        <v>Townsmen's House - Fish</v>
      </c>
      <c r="H34" s="62">
        <f>ConsumptionModel_1000P[[#This Row],[Quantity]]*INDEX(Consumption[Consumption/person/h],MATCH(ConsumptionModel_1000P[[#This Row],[LookupValue]],Consumption[LookupValue],0))*IFERROR(INDEX(ResidentBuildings[Residents],MATCH(ConsumptionModel_1000P[[#This Row],[Building]],ResidentBuildings[Building],0)),0)</f>
        <v>300</v>
      </c>
      <c r="I34"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780</v>
      </c>
      <c r="J34" s="57">
        <f>IF(ConsumptionModel_1000P[[#This Row],[Quantity]]=0,"",IF(AND(ConsumptionModel_1000P[[#This Row],[Resource Demand]]=0,ConsumptionModel_1000P[[#This Row],[Resource Available]]&gt;0),1,MIN(1,IFERROR(ConsumptionModel_1000P[[#This Row],[Resource Available]]/ConsumptionModel_1000P[[#This Row],[Resource Demand]],0))))</f>
        <v>1</v>
      </c>
      <c r="K34"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34" s="197" t="s">
        <v>173</v>
      </c>
      <c r="P34" s="71">
        <f>SUMIFS(ResourceAvailable_1000P[Amount Produced],ResourceAvailable_1000P[Resource],ResourceMonitor_1000P[[#This Row],[Resource]])</f>
        <v>30</v>
      </c>
      <c r="Q34" s="71">
        <f>SUMIFS(ResourceAvailable_1000P[Amount Consumed],ResourceAvailable_1000P[Resource],ResourceMonitor_1000P[[#This Row],[Resource]])</f>
        <v>0</v>
      </c>
      <c r="R34" s="71">
        <f>SUMIFS(ResourceAvailable_1000P[Amount Available for Resident Consumption],ResourceAvailable_1000P[Resource],ResourceMonitor_1000P[[#This Row],[Resource]])</f>
        <v>30</v>
      </c>
      <c r="S34" s="39">
        <f>MAX(0,ResourceMonitor_1000P[[#This Row],[Amount Available for Resident Consumption]]-SUMIFS(ConsumptionModel_1000P[Resource Demand],ConsumptionModel_1000P[Resource],ResourceMonitor_1000P[[#This Row],[Resource]]))</f>
        <v>3</v>
      </c>
      <c r="T34" s="39">
        <f>MIN(0,ResourceMonitor_1000P[[#This Row],[Amount Available for Resident Consumption]]-SUMIFS(ConsumptionModel_1000P[Resource Demand],ConsumptionModel_1000P[Resource],ResourceMonitor_1000P[[#This Row],[Resource]]))</f>
        <v>0</v>
      </c>
      <c r="U34" s="122">
        <f>IFERROR(INDEX(#REF!,MATCH(ResourceMonitor_1000P[[#This Row],[Resource]],#REF!,0)),0)</f>
        <v>0</v>
      </c>
      <c r="V34" s="194">
        <f>IFERROR(ResourceMonitor_1000P[[#This Row],[Amount Produced]]/ResourceMonitor_1000P[[#This Row],[Production Target]],0)</f>
        <v>0</v>
      </c>
      <c r="W34" s="133"/>
      <c r="X34" s="47">
        <f>IF(ResourceMonitor_1000P[[#This Row],[Ignore shipping needs?]]="Yes",0,ROUNDUP(ResourceMonitor_1000P[[#This Row],[Production Target]]/INDEX(ShipRequirementCalculator[Cargo capacity/h (return, 50% empty)],MATCH($X$15,ShipRequirementCalculator[Ship],0)),0))</f>
        <v>0</v>
      </c>
      <c r="Y34" s="47">
        <f>IF(ResourceMonitor_1000P[[#This Row],[Ignore shipping needs?]]="Yes",0,ROUNDUP(ResourceMonitor_1000P[[#This Row],[Production Target]]/INDEX(ShipRequirementCalculator[Cargo capacity/h (return, 50% empty)],MATCH($Y$15,ShipRequirementCalculator[Ship],0)),0))</f>
        <v>0</v>
      </c>
      <c r="Z34" s="47">
        <f>IF(ResourceMonitor_1000P[[#This Row],[Ignore shipping needs?]]="Yes",0,ROUNDUP(ResourceMonitor_1000P[[#This Row],[Production Target]]/INDEX(ShipRequirementCalculator[Cargo capacity/h (return, 50% empty)],MATCH($Z$15,ShipRequirementCalculator[Ship],0)),0))</f>
        <v>0</v>
      </c>
      <c r="AA34" s="124"/>
      <c r="AC34" s="102" t="s">
        <v>367</v>
      </c>
      <c r="AD34" s="83">
        <f>ROW()</f>
        <v>34</v>
      </c>
      <c r="AE34" s="74">
        <f>AE35*8</f>
        <v>16</v>
      </c>
      <c r="AF34" s="50" t="s">
        <v>132</v>
      </c>
      <c r="AG34" s="18"/>
      <c r="AH34" s="74">
        <f>AH35*8</f>
        <v>16</v>
      </c>
      <c r="AI34" s="156">
        <f>IFERROR(IslandModel_1000P[[#This Row],[Quantity]]/IslandModel_1000P[[#This Row],[Target Quantity]],0)</f>
        <v>1</v>
      </c>
      <c r="AJ34" s="61" t="str">
        <f>IFERROR(INDEX(Production[Resource Produced],MATCH(IslandModel_1000P[[#This Row],[Building]],Production[Building],0)),"")</f>
        <v>Cotton Field</v>
      </c>
      <c r="AK34" s="76">
        <f>IFERROR(IslandModel_1000P[[#This Row],[Quantity]]*INDEX(Production[Production in 1h],MATCH(IslandModel_1000P[[#This Row],[Building]],Production[Building],0))*IslandModel_1000P[[#This Row],[Input Consumption Multiplier]],0)</f>
        <v>16</v>
      </c>
      <c r="AL34" s="90">
        <f>100%</f>
        <v>1</v>
      </c>
      <c r="AM34"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34" s="77" t="str">
        <f>IFERROR(INDEX(Production[Input 1],MATCH(IslandModel_1000P[[#This Row],[Building]],Production[Building],0)),"")</f>
        <v>Land tile</v>
      </c>
      <c r="AO34" s="78"/>
      <c r="AP34"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16</v>
      </c>
      <c r="AQ34"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2668.5</v>
      </c>
      <c r="AR34" s="41">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16</v>
      </c>
      <c r="AS34" s="35">
        <f>IFERROR(INDEX(Production[Input 2],MATCH(IslandModel_1000P[[#This Row],[Building]],Production[Building],0)),"")</f>
        <v>0</v>
      </c>
      <c r="AT34" s="78"/>
      <c r="AU34"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34"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34"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34" s="35">
        <f>IFERROR(INDEX(Production[Input 3],MATCH(IslandModel_1000P[[#This Row],[Building]],Production[Building],0)),"")</f>
        <v>0</v>
      </c>
      <c r="AY34" s="78"/>
      <c r="AZ34"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34"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34"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34" s="35">
        <f>IFERROR(INDEX(Production[Input 4],MATCH(IslandModel_1000P[[#This Row],[Building]],Production[Building],0)),"")</f>
        <v>0</v>
      </c>
      <c r="BD34" s="78"/>
      <c r="BE34"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34"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34"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34" s="35">
        <f>IFERROR(INDEX(Production[Input 5],MATCH(IslandModel_1000P[[#This Row],[Building]],Production[Building],0)),"")</f>
        <v>0</v>
      </c>
      <c r="BI34" s="78"/>
      <c r="BJ34"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34"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34"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34" s="35">
        <f>IFERROR(INDEX(Production[Input 6],MATCH(IslandModel_1000P[[#This Row],[Building]],Production[Building],0)),"")</f>
        <v>0</v>
      </c>
      <c r="BN34" s="78"/>
      <c r="BO34"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34"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34"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34" s="35">
        <f>IFERROR(INDEX(Production[Input 7],MATCH(IslandModel_1000P[[#This Row],[Building]],Production[Building],0)),"")</f>
        <v>0</v>
      </c>
      <c r="BS34" s="78"/>
      <c r="BT34"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34"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34"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34" s="35">
        <f>IFERROR(INDEX(Production[Input 8],MATCH(IslandModel_1000P[[#This Row],[Building]],Production[Building],0)),"")</f>
        <v>0</v>
      </c>
      <c r="BX34" s="78"/>
      <c r="BY34"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34"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34"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34" s="35">
        <f>IFERROR(INDEX(Production[Input 9],MATCH(IslandModel_1000P[[#This Row],[Building]],Production[Building],0)),"")</f>
        <v>0</v>
      </c>
      <c r="CC34" s="78"/>
      <c r="CD34"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34"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34"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34" s="35">
        <f>IFERROR(INDEX(Production[Input 10],MATCH(IslandModel_1000P[[#This Row],[Building]],Production[Building],0)),"")</f>
        <v>0</v>
      </c>
      <c r="CH34" s="78"/>
      <c r="CI34"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34"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34"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34" s="81">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34" s="82" t="str">
        <f>IslandModel_1000P[[#This Row],[Resource Produced]]</f>
        <v>Cotton Field</v>
      </c>
      <c r="CN34" s="42">
        <f>IslandModel_1000P[[#This Row],[Amount produced/h]]</f>
        <v>16</v>
      </c>
      <c r="CO34" s="42" t="str">
        <f>IslandModel_1000P[[#This Row],[Input 1]]</f>
        <v>Land tile</v>
      </c>
      <c r="CP34" s="42">
        <f>-IslandModel_1000P[[#This Row],[Input 1 Consumed]]</f>
        <v>-16</v>
      </c>
      <c r="CQ34" s="42">
        <f>IslandModel_1000P[[#This Row],[Input 2]]</f>
        <v>0</v>
      </c>
      <c r="CR34" s="42">
        <f>-IslandModel_1000P[[#This Row],[Input 2 Consumed]]</f>
        <v>0</v>
      </c>
      <c r="CS34" s="42">
        <f>IslandModel_1000P[[#This Row],[Input 3]]</f>
        <v>0</v>
      </c>
      <c r="CT34" s="42">
        <f>-IslandModel_1000P[[#This Row],[Input 3 Consumed]]</f>
        <v>0</v>
      </c>
      <c r="CU34" s="42">
        <f>IslandModel_1000P[[#This Row],[Input 4]]</f>
        <v>0</v>
      </c>
      <c r="CV34" s="42">
        <f>-IslandModel_1000P[[#This Row],[Input 4 Consumed]]</f>
        <v>0</v>
      </c>
      <c r="CW34" s="42">
        <f>IslandModel_1000P[[#This Row],[Input 5]]</f>
        <v>0</v>
      </c>
      <c r="CX34" s="42">
        <f>-IslandModel_1000P[[#This Row],[Input 5 Consumed]]</f>
        <v>0</v>
      </c>
      <c r="CY34" s="42">
        <f>IslandModel_1000P[[#This Row],[Input 6]]</f>
        <v>0</v>
      </c>
      <c r="CZ34" s="42">
        <f>-IslandModel_1000P[[#This Row],[Input 6 Consumed]]</f>
        <v>0</v>
      </c>
      <c r="DA34" s="42">
        <f>IslandModel_1000P[[#This Row],[Input 7]]</f>
        <v>0</v>
      </c>
      <c r="DB34" s="42">
        <f>-IslandModel_1000P[[#This Row],[Input 7 Consumed]]</f>
        <v>0</v>
      </c>
      <c r="DC34" s="42">
        <f>IslandModel_1000P[[#This Row],[Input 8]]</f>
        <v>0</v>
      </c>
      <c r="DD34" s="42">
        <f>-IslandModel_1000P[[#This Row],[Input 8 Consumed]]</f>
        <v>0</v>
      </c>
      <c r="DE34" s="42">
        <f>IslandModel_1000P[[#This Row],[Input 9]]</f>
        <v>0</v>
      </c>
      <c r="DF34" s="42">
        <f>-IslandModel_1000P[[#This Row],[Input 9 Consumed]]</f>
        <v>0</v>
      </c>
      <c r="DG34" s="42">
        <f>IslandModel_1000P[[#This Row],[Input 10]]</f>
        <v>0</v>
      </c>
      <c r="DH34" s="42">
        <f>-IslandModel_1000P[[#This Row],[Input 10 Consumed]]</f>
        <v>0</v>
      </c>
      <c r="DJ34" s="55" t="s">
        <v>78</v>
      </c>
      <c r="DK34" s="39">
        <f>SUM(SUMIFS(IslandModel_1000P[Resource 1 Qty],IslandModel_1000P[Resource 1],ResourceAvailable_1000P[[#This Row],[Resource]]))</f>
        <v>0</v>
      </c>
      <c r="DL34"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34" s="39">
        <f>ResourceAvailable_1000P[[#This Row],[Amount Produced]]-ResourceAvailable_1000P[[#This Row],[Amount Consumed]]</f>
        <v>0</v>
      </c>
      <c r="DN34" s="20">
        <f>MAX(0,ResourceAvailable_1000P[[#This Row],[Amount Available for Resident Consumption]]-SUMIFS(ConsumptionModel_1000P[Resource Demand],ConsumptionModel_1000P[Resource],ResourceAvailable_1000P[[#This Row],[Resource]]))</f>
        <v>0</v>
      </c>
    </row>
    <row r="35" spans="2:118" ht="21" x14ac:dyDescent="0.65">
      <c r="B35" s="178">
        <f>ROW()</f>
        <v>35</v>
      </c>
      <c r="C35" s="70">
        <f>INDEX(ConsumptionModelInputs_1000P[Quantity],MATCH(ConsumptionModel_1000P[[#This Row],[Building]],ConsumptionModelInputs_1000P[Building],0))</f>
        <v>10</v>
      </c>
      <c r="D35" s="179" t="s">
        <v>57</v>
      </c>
      <c r="E35" s="179" t="s">
        <v>66</v>
      </c>
      <c r="F35" s="191" t="str">
        <f>IF(OR(ISBLANK(ConsumptionModel_1000P[[#This Row],[Building]]),ISBLANK(ConsumptionModel_1000P[[#This Row],[Resource]]))," - ",INDEX(Consumption[Type],MATCH(ConsumptionModel_1000P[[#This Row],[LookupValue]],Consumption[LookupValue],0)))</f>
        <v>Need</v>
      </c>
      <c r="G35" s="61" t="str">
        <f>IF(OR(ISBLANK(ConsumptionModel_1000P[[#This Row],[Building]]),ISBLANK(ConsumptionModel_1000P[[#This Row],[Resource]]))," - ",ConsumptionModel_1000P[[#This Row],[Building]]&amp;" - "&amp;ConsumptionModel_1000P[[#This Row],[Resource]])</f>
        <v>Townsmen's House - Schnapps</v>
      </c>
      <c r="H35" s="62">
        <f>ConsumptionModel_1000P[[#This Row],[Quantity]]*INDEX(Consumption[Consumption/person/h],MATCH(ConsumptionModel_1000P[[#This Row],[LookupValue]],Consumption[LookupValue],0))*IFERROR(INDEX(ResidentBuildings[Residents],MATCH(ConsumptionModel_1000P[[#This Row],[Building]],ResidentBuildings[Building],0)),0)</f>
        <v>300</v>
      </c>
      <c r="I35"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845</v>
      </c>
      <c r="J35" s="57">
        <f>IF(ConsumptionModel_1000P[[#This Row],[Quantity]]=0,"",IF(AND(ConsumptionModel_1000P[[#This Row],[Resource Demand]]=0,ConsumptionModel_1000P[[#This Row],[Resource Available]]&gt;0),1,MIN(1,IFERROR(ConsumptionModel_1000P[[#This Row],[Resource Available]]/ConsumptionModel_1000P[[#This Row],[Resource Demand]],0))))</f>
        <v>1</v>
      </c>
      <c r="K35"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35" s="197" t="s">
        <v>149</v>
      </c>
      <c r="P35" s="71">
        <f>SUMIFS(ResourceAvailable_1000P[Amount Produced],ResourceAvailable_1000P[Resource],ResourceMonitor_1000P[[#This Row],[Resource]])</f>
        <v>180</v>
      </c>
      <c r="Q35" s="71">
        <f>SUMIFS(ResourceAvailable_1000P[Amount Consumed],ResourceAvailable_1000P[Resource],ResourceMonitor_1000P[[#This Row],[Resource]])</f>
        <v>180</v>
      </c>
      <c r="R35" s="71">
        <f>SUMIFS(ResourceAvailable_1000P[Amount Available for Resident Consumption],ResourceAvailable_1000P[Resource],ResourceMonitor_1000P[[#This Row],[Resource]])</f>
        <v>0</v>
      </c>
      <c r="S35" s="39">
        <f>MAX(0,ResourceMonitor_1000P[[#This Row],[Amount Available for Resident Consumption]]-SUMIFS(ConsumptionModel_1000P[Resource Demand],ConsumptionModel_1000P[Resource],ResourceMonitor_1000P[[#This Row],[Resource]]))</f>
        <v>0</v>
      </c>
      <c r="T35" s="39">
        <f>MIN(0,ResourceMonitor_1000P[[#This Row],[Amount Available for Resident Consumption]]-SUMIFS(ConsumptionModel_1000P[Resource Demand],ConsumptionModel_1000P[Resource],ResourceMonitor_1000P[[#This Row],[Resource]]))</f>
        <v>0</v>
      </c>
      <c r="U35" s="122">
        <f>IFERROR(INDEX(#REF!,MATCH(ResourceMonitor_1000P[[#This Row],[Resource]],#REF!,0)),0)</f>
        <v>0</v>
      </c>
      <c r="V35" s="194">
        <f>IFERROR(ResourceMonitor_1000P[[#This Row],[Amount Produced]]/ResourceMonitor_1000P[[#This Row],[Production Target]],0)</f>
        <v>0</v>
      </c>
      <c r="W35" s="133"/>
      <c r="X35" s="47">
        <f>IF(ResourceMonitor_1000P[[#This Row],[Ignore shipping needs?]]="Yes",0,ROUNDUP(ResourceMonitor_1000P[[#This Row],[Production Target]]/INDEX(ShipRequirementCalculator[Cargo capacity/h (return, 50% empty)],MATCH($X$15,ShipRequirementCalculator[Ship],0)),0))</f>
        <v>0</v>
      </c>
      <c r="Y35" s="47">
        <f>IF(ResourceMonitor_1000P[[#This Row],[Ignore shipping needs?]]="Yes",0,ROUNDUP(ResourceMonitor_1000P[[#This Row],[Production Target]]/INDEX(ShipRequirementCalculator[Cargo capacity/h (return, 50% empty)],MATCH($Y$15,ShipRequirementCalculator[Ship],0)),0))</f>
        <v>0</v>
      </c>
      <c r="Z35" s="47">
        <f>IF(ResourceMonitor_1000P[[#This Row],[Ignore shipping needs?]]="Yes",0,ROUNDUP(ResourceMonitor_1000P[[#This Row],[Production Target]]/INDEX(ShipRequirementCalculator[Cargo capacity/h (return, 50% empty)],MATCH($Z$15,ShipRequirementCalculator[Ship],0)),0))</f>
        <v>0</v>
      </c>
      <c r="AA35" s="124"/>
      <c r="AC35" s="102" t="s">
        <v>367</v>
      </c>
      <c r="AD35" s="83">
        <f>ROW()</f>
        <v>35</v>
      </c>
      <c r="AE35" s="74">
        <v>2</v>
      </c>
      <c r="AF35" s="50" t="s">
        <v>133</v>
      </c>
      <c r="AG35" s="18"/>
      <c r="AH35" s="74">
        <v>2</v>
      </c>
      <c r="AI35" s="156">
        <f>IFERROR(IslandModel_1000P[[#This Row],[Quantity]]/IslandModel_1000P[[#This Row],[Target Quantity]],0)</f>
        <v>1</v>
      </c>
      <c r="AJ35" s="61" t="str">
        <f>IFERROR(INDEX(Production[Resource Produced],MATCH(IslandModel_1000P[[#This Row],[Building]],Production[Building],0)),"")</f>
        <v>Yarn</v>
      </c>
      <c r="AK35" s="76">
        <f>IFERROR(IslandModel_1000P[[#This Row],[Quantity]]*INDEX(Production[Production in 1h],MATCH(IslandModel_1000P[[#This Row],[Building]],Production[Building],0))*IslandModel_1000P[[#This Row],[Input Consumption Multiplier]],0)</f>
        <v>120</v>
      </c>
      <c r="AL35" s="90">
        <f>100%</f>
        <v>1</v>
      </c>
      <c r="AM35"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35" s="77" t="str">
        <f>IFERROR(INDEX(Production[Input 1],MATCH(IslandModel_1000P[[#This Row],[Building]],Production[Building],0)),"")</f>
        <v>Land tile</v>
      </c>
      <c r="AO35" s="78"/>
      <c r="AP35"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v>
      </c>
      <c r="AQ35"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2652.5</v>
      </c>
      <c r="AR35" s="41">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v>
      </c>
      <c r="AS35" s="35" t="str">
        <f>IFERROR(INDEX(Production[Input 2],MATCH(IslandModel_1000P[[#This Row],[Building]],Production[Building],0)),"")</f>
        <v>Cotton Field</v>
      </c>
      <c r="AT35" s="78"/>
      <c r="AU35"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16</v>
      </c>
      <c r="AV35"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16</v>
      </c>
      <c r="AW35"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16</v>
      </c>
      <c r="AX35" s="35">
        <f>IFERROR(INDEX(Production[Input 3],MATCH(IslandModel_1000P[[#This Row],[Building]],Production[Building],0)),"")</f>
        <v>0</v>
      </c>
      <c r="AY35" s="78"/>
      <c r="AZ35"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35"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35"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35" s="35">
        <f>IFERROR(INDEX(Production[Input 4],MATCH(IslandModel_1000P[[#This Row],[Building]],Production[Building],0)),"")</f>
        <v>0</v>
      </c>
      <c r="BD35" s="78"/>
      <c r="BE35"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35"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35"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35" s="35">
        <f>IFERROR(INDEX(Production[Input 5],MATCH(IslandModel_1000P[[#This Row],[Building]],Production[Building],0)),"")</f>
        <v>0</v>
      </c>
      <c r="BI35" s="78"/>
      <c r="BJ35"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35"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35"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35" s="35">
        <f>IFERROR(INDEX(Production[Input 6],MATCH(IslandModel_1000P[[#This Row],[Building]],Production[Building],0)),"")</f>
        <v>0</v>
      </c>
      <c r="BN35" s="78"/>
      <c r="BO35"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35"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35"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35" s="35">
        <f>IFERROR(INDEX(Production[Input 7],MATCH(IslandModel_1000P[[#This Row],[Building]],Production[Building],0)),"")</f>
        <v>0</v>
      </c>
      <c r="BS35" s="78"/>
      <c r="BT35"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35"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35"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35" s="35">
        <f>IFERROR(INDEX(Production[Input 8],MATCH(IslandModel_1000P[[#This Row],[Building]],Production[Building],0)),"")</f>
        <v>0</v>
      </c>
      <c r="BX35" s="78"/>
      <c r="BY35"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35"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35"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35" s="35">
        <f>IFERROR(INDEX(Production[Input 9],MATCH(IslandModel_1000P[[#This Row],[Building]],Production[Building],0)),"")</f>
        <v>0</v>
      </c>
      <c r="CC35" s="78"/>
      <c r="CD35"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35"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35"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35" s="35">
        <f>IFERROR(INDEX(Production[Input 10],MATCH(IslandModel_1000P[[#This Row],[Building]],Production[Building],0)),"")</f>
        <v>0</v>
      </c>
      <c r="CH35" s="78"/>
      <c r="CI35"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35"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35"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35" s="81">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35" s="82" t="str">
        <f>IslandModel_1000P[[#This Row],[Resource Produced]]</f>
        <v>Yarn</v>
      </c>
      <c r="CN35" s="42">
        <f>IslandModel_1000P[[#This Row],[Amount produced/h]]</f>
        <v>120</v>
      </c>
      <c r="CO35" s="42" t="str">
        <f>IslandModel_1000P[[#This Row],[Input 1]]</f>
        <v>Land tile</v>
      </c>
      <c r="CP35" s="42">
        <f>-IslandModel_1000P[[#This Row],[Input 1 Consumed]]</f>
        <v>-2</v>
      </c>
      <c r="CQ35" s="42" t="str">
        <f>IslandModel_1000P[[#This Row],[Input 2]]</f>
        <v>Cotton Field</v>
      </c>
      <c r="CR35" s="42">
        <f>-IslandModel_1000P[[#This Row],[Input 2 Consumed]]</f>
        <v>-16</v>
      </c>
      <c r="CS35" s="42">
        <f>IslandModel_1000P[[#This Row],[Input 3]]</f>
        <v>0</v>
      </c>
      <c r="CT35" s="42">
        <f>-IslandModel_1000P[[#This Row],[Input 3 Consumed]]</f>
        <v>0</v>
      </c>
      <c r="CU35" s="42">
        <f>IslandModel_1000P[[#This Row],[Input 4]]</f>
        <v>0</v>
      </c>
      <c r="CV35" s="42">
        <f>-IslandModel_1000P[[#This Row],[Input 4 Consumed]]</f>
        <v>0</v>
      </c>
      <c r="CW35" s="42">
        <f>IslandModel_1000P[[#This Row],[Input 5]]</f>
        <v>0</v>
      </c>
      <c r="CX35" s="42">
        <f>-IslandModel_1000P[[#This Row],[Input 5 Consumed]]</f>
        <v>0</v>
      </c>
      <c r="CY35" s="42">
        <f>IslandModel_1000P[[#This Row],[Input 6]]</f>
        <v>0</v>
      </c>
      <c r="CZ35" s="42">
        <f>-IslandModel_1000P[[#This Row],[Input 6 Consumed]]</f>
        <v>0</v>
      </c>
      <c r="DA35" s="42">
        <f>IslandModel_1000P[[#This Row],[Input 7]]</f>
        <v>0</v>
      </c>
      <c r="DB35" s="42">
        <f>-IslandModel_1000P[[#This Row],[Input 7 Consumed]]</f>
        <v>0</v>
      </c>
      <c r="DC35" s="42">
        <f>IslandModel_1000P[[#This Row],[Input 8]]</f>
        <v>0</v>
      </c>
      <c r="DD35" s="42">
        <f>-IslandModel_1000P[[#This Row],[Input 8 Consumed]]</f>
        <v>0</v>
      </c>
      <c r="DE35" s="42">
        <f>IslandModel_1000P[[#This Row],[Input 9]]</f>
        <v>0</v>
      </c>
      <c r="DF35" s="42">
        <f>-IslandModel_1000P[[#This Row],[Input 9 Consumed]]</f>
        <v>0</v>
      </c>
      <c r="DG35" s="42">
        <f>IslandModel_1000P[[#This Row],[Input 10]]</f>
        <v>0</v>
      </c>
      <c r="DH35" s="42">
        <f>-IslandModel_1000P[[#This Row],[Input 10 Consumed]]</f>
        <v>0</v>
      </c>
      <c r="DJ35" t="s">
        <v>162</v>
      </c>
      <c r="DK35" s="39">
        <f>SUM(SUMIFS(IslandModel_1000P[Resource 1 Qty],IslandModel_1000P[Resource 1],ResourceAvailable_1000P[[#This Row],[Resource]]))</f>
        <v>330</v>
      </c>
      <c r="DL35"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330</v>
      </c>
      <c r="DM35" s="39">
        <f>ResourceAvailable_1000P[[#This Row],[Amount Produced]]-ResourceAvailable_1000P[[#This Row],[Amount Consumed]]</f>
        <v>0</v>
      </c>
      <c r="DN35" s="20">
        <f>MAX(0,ResourceAvailable_1000P[[#This Row],[Amount Available for Resident Consumption]]-SUMIFS(ConsumptionModel_1000P[Resource Demand],ConsumptionModel_1000P[Resource],ResourceAvailable_1000P[[#This Row],[Resource]]))</f>
        <v>0</v>
      </c>
    </row>
    <row r="36" spans="2:118" ht="21" x14ac:dyDescent="0.65">
      <c r="B36" s="178">
        <f>ROW()</f>
        <v>36</v>
      </c>
      <c r="C36" s="70">
        <f>INDEX(ConsumptionModelInputs_1000P[Quantity],MATCH(ConsumptionModel_1000P[[#This Row],[Building]],ConsumptionModelInputs_1000P[Building],0))</f>
        <v>10</v>
      </c>
      <c r="D36" s="179" t="s">
        <v>57</v>
      </c>
      <c r="E36" s="179" t="s">
        <v>72</v>
      </c>
      <c r="F36" s="191" t="str">
        <f>IF(OR(ISBLANK(ConsumptionModel_1000P[[#This Row],[Building]]),ISBLANK(ConsumptionModel_1000P[[#This Row],[Resource]]))," - ",INDEX(Consumption[Type],MATCH(ConsumptionModel_1000P[[#This Row],[LookupValue]],Consumption[LookupValue],0)))</f>
        <v>Need</v>
      </c>
      <c r="G36" s="61" t="str">
        <f>IF(OR(ISBLANK(ConsumptionModel_1000P[[#This Row],[Building]]),ISBLANK(ConsumptionModel_1000P[[#This Row],[Resource]]))," - ",ConsumptionModel_1000P[[#This Row],[Building]]&amp;" - "&amp;ConsumptionModel_1000P[[#This Row],[Resource]])</f>
        <v>Townsmen's House - Linen</v>
      </c>
      <c r="H36" s="62">
        <f>ConsumptionModel_1000P[[#This Row],[Quantity]]*INDEX(Consumption[Consumption/person/h],MATCH(ConsumptionModel_1000P[[#This Row],[LookupValue]],Consumption[LookupValue],0))*IFERROR(INDEX(ResidentBuildings[Residents],MATCH(ConsumptionModel_1000P[[#This Row],[Building]],ResidentBuildings[Building],0)),0)</f>
        <v>75</v>
      </c>
      <c r="I36"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75</v>
      </c>
      <c r="J36" s="57">
        <f>IF(ConsumptionModel_1000P[[#This Row],[Quantity]]=0,"",IF(AND(ConsumptionModel_1000P[[#This Row],[Resource Demand]]=0,ConsumptionModel_1000P[[#This Row],[Resource Available]]&gt;0),1,MIN(1,IFERROR(ConsumptionModel_1000P[[#This Row],[Resource Available]]/ConsumptionModel_1000P[[#This Row],[Resource Demand]],0))))</f>
        <v>1</v>
      </c>
      <c r="K36"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36" s="197" t="s">
        <v>152</v>
      </c>
      <c r="P36" s="71">
        <f>SUMIFS(ResourceAvailable_1000P[Amount Produced],ResourceAvailable_1000P[Resource],ResourceMonitor_1000P[[#This Row],[Resource]])</f>
        <v>3</v>
      </c>
      <c r="Q36" s="71">
        <f>SUMIFS(ResourceAvailable_1000P[Amount Consumed],ResourceAvailable_1000P[Resource],ResourceMonitor_1000P[[#This Row],[Resource]])</f>
        <v>0</v>
      </c>
      <c r="R36" s="71">
        <f>SUMIFS(ResourceAvailable_1000P[Amount Available for Resident Consumption],ResourceAvailable_1000P[Resource],ResourceMonitor_1000P[[#This Row],[Resource]])</f>
        <v>3</v>
      </c>
      <c r="S36" s="39">
        <f>MAX(0,ResourceMonitor_1000P[[#This Row],[Amount Available for Resident Consumption]]-SUMIFS(ConsumptionModel_1000P[Resource Demand],ConsumptionModel_1000P[Resource],ResourceMonitor_1000P[[#This Row],[Resource]]))</f>
        <v>3</v>
      </c>
      <c r="T36" s="39">
        <f>MIN(0,ResourceMonitor_1000P[[#This Row],[Amount Available for Resident Consumption]]-SUMIFS(ConsumptionModel_1000P[Resource Demand],ConsumptionModel_1000P[Resource],ResourceMonitor_1000P[[#This Row],[Resource]]))</f>
        <v>0</v>
      </c>
      <c r="U36" s="122">
        <f>IFERROR(INDEX(#REF!,MATCH(ResourceMonitor_1000P[[#This Row],[Resource]],#REF!,0)),0)</f>
        <v>0</v>
      </c>
      <c r="V36" s="194">
        <f>IFERROR(ResourceMonitor_1000P[[#This Row],[Amount Produced]]/ResourceMonitor_1000P[[#This Row],[Production Target]],0)</f>
        <v>0</v>
      </c>
      <c r="W36" s="133" t="s">
        <v>242</v>
      </c>
      <c r="X36" s="47">
        <f>IF(ResourceMonitor_1000P[[#This Row],[Ignore shipping needs?]]="Yes",0,ROUNDUP(ResourceMonitor_1000P[[#This Row],[Production Target]]/INDEX(ShipRequirementCalculator[Cargo capacity/h (return, 50% empty)],MATCH($X$15,ShipRequirementCalculator[Ship],0)),0))</f>
        <v>0</v>
      </c>
      <c r="Y36" s="47">
        <f>IF(ResourceMonitor_1000P[[#This Row],[Ignore shipping needs?]]="Yes",0,ROUNDUP(ResourceMonitor_1000P[[#This Row],[Production Target]]/INDEX(ShipRequirementCalculator[Cargo capacity/h (return, 50% empty)],MATCH($Y$15,ShipRequirementCalculator[Ship],0)),0))</f>
        <v>0</v>
      </c>
      <c r="Z36" s="47">
        <f>IF(ResourceMonitor_1000P[[#This Row],[Ignore shipping needs?]]="Yes",0,ROUNDUP(ResourceMonitor_1000P[[#This Row],[Production Target]]/INDEX(ShipRequirementCalculator[Cargo capacity/h (return, 50% empty)],MATCH($Z$15,ShipRequirementCalculator[Ship],0)),0))</f>
        <v>0</v>
      </c>
      <c r="AA36" s="124"/>
      <c r="AC36" s="102" t="s">
        <v>367</v>
      </c>
      <c r="AD36" s="83">
        <f>ROW()</f>
        <v>36</v>
      </c>
      <c r="AE36" s="74"/>
      <c r="AF36" s="50" t="s">
        <v>100</v>
      </c>
      <c r="AG36" s="18"/>
      <c r="AH36" s="74"/>
      <c r="AI36" s="156">
        <f>IFERROR(IslandModel_1000P[[#This Row],[Quantity]]/IslandModel_1000P[[#This Row],[Target Quantity]],0)</f>
        <v>0</v>
      </c>
      <c r="AJ36" s="61" t="str">
        <f>IFERROR(INDEX(Production[Resource Produced],MATCH(IslandModel_1000P[[#This Row],[Building]],Production[Building],0)),"")</f>
        <v>Fabric</v>
      </c>
      <c r="AK36" s="76">
        <f>IFERROR(IslandModel_1000P[[#This Row],[Quantity]]*INDEX(Production[Production in 1h],MATCH(IslandModel_1000P[[#This Row],[Building]],Production[Building],0))*IslandModel_1000P[[#This Row],[Input Consumption Multiplier]],0)</f>
        <v>0</v>
      </c>
      <c r="AL36" s="90">
        <f>100%</f>
        <v>1</v>
      </c>
      <c r="AM36"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36" s="77" t="str">
        <f>IFERROR(INDEX(Production[Input 1],MATCH(IslandModel_1000P[[#This Row],[Building]],Production[Building],0)),"")</f>
        <v>Land tile</v>
      </c>
      <c r="AO36" s="78"/>
      <c r="AP36"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36"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2650.5</v>
      </c>
      <c r="AR36" s="41">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36" s="35" t="str">
        <f>IFERROR(INDEX(Production[Input 2],MATCH(IslandModel_1000P[[#This Row],[Building]],Production[Building],0)),"")</f>
        <v>Yarn</v>
      </c>
      <c r="AT36" s="78"/>
      <c r="AU36"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36"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120</v>
      </c>
      <c r="AW36"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36" s="35">
        <f>IFERROR(INDEX(Production[Input 3],MATCH(IslandModel_1000P[[#This Row],[Building]],Production[Building],0)),"")</f>
        <v>0</v>
      </c>
      <c r="AY36" s="78"/>
      <c r="AZ36"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36"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36"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36" s="35">
        <f>IFERROR(INDEX(Production[Input 4],MATCH(IslandModel_1000P[[#This Row],[Building]],Production[Building],0)),"")</f>
        <v>0</v>
      </c>
      <c r="BD36" s="78"/>
      <c r="BE36"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36"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36"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36" s="35">
        <f>IFERROR(INDEX(Production[Input 5],MATCH(IslandModel_1000P[[#This Row],[Building]],Production[Building],0)),"")</f>
        <v>0</v>
      </c>
      <c r="BI36" s="78"/>
      <c r="BJ36"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36"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36"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36" s="35">
        <f>IFERROR(INDEX(Production[Input 6],MATCH(IslandModel_1000P[[#This Row],[Building]],Production[Building],0)),"")</f>
        <v>0</v>
      </c>
      <c r="BN36" s="78"/>
      <c r="BO36"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36"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36"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36" s="35">
        <f>IFERROR(INDEX(Production[Input 7],MATCH(IslandModel_1000P[[#This Row],[Building]],Production[Building],0)),"")</f>
        <v>0</v>
      </c>
      <c r="BS36" s="78"/>
      <c r="BT36"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36"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36"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36" s="35">
        <f>IFERROR(INDEX(Production[Input 8],MATCH(IslandModel_1000P[[#This Row],[Building]],Production[Building],0)),"")</f>
        <v>0</v>
      </c>
      <c r="BX36" s="78"/>
      <c r="BY36"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36"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36"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36" s="35">
        <f>IFERROR(INDEX(Production[Input 9],MATCH(IslandModel_1000P[[#This Row],[Building]],Production[Building],0)),"")</f>
        <v>0</v>
      </c>
      <c r="CC36" s="78"/>
      <c r="CD36"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36"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36"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36" s="35">
        <f>IFERROR(INDEX(Production[Input 10],MATCH(IslandModel_1000P[[#This Row],[Building]],Production[Building],0)),"")</f>
        <v>0</v>
      </c>
      <c r="CH36" s="78"/>
      <c r="CI36"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36"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36"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36" s="81">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36" s="82" t="str">
        <f>IslandModel_1000P[[#This Row],[Resource Produced]]</f>
        <v>Fabric</v>
      </c>
      <c r="CN36" s="42">
        <f>IslandModel_1000P[[#This Row],[Amount produced/h]]</f>
        <v>0</v>
      </c>
      <c r="CO36" s="42" t="str">
        <f>IslandModel_1000P[[#This Row],[Input 1]]</f>
        <v>Land tile</v>
      </c>
      <c r="CP36" s="42">
        <f>-IslandModel_1000P[[#This Row],[Input 1 Consumed]]</f>
        <v>0</v>
      </c>
      <c r="CQ36" s="42" t="str">
        <f>IslandModel_1000P[[#This Row],[Input 2]]</f>
        <v>Yarn</v>
      </c>
      <c r="CR36" s="42">
        <f>-IslandModel_1000P[[#This Row],[Input 2 Consumed]]</f>
        <v>0</v>
      </c>
      <c r="CS36" s="42">
        <f>IslandModel_1000P[[#This Row],[Input 3]]</f>
        <v>0</v>
      </c>
      <c r="CT36" s="42">
        <f>-IslandModel_1000P[[#This Row],[Input 3 Consumed]]</f>
        <v>0</v>
      </c>
      <c r="CU36" s="42">
        <f>IslandModel_1000P[[#This Row],[Input 4]]</f>
        <v>0</v>
      </c>
      <c r="CV36" s="42">
        <f>-IslandModel_1000P[[#This Row],[Input 4 Consumed]]</f>
        <v>0</v>
      </c>
      <c r="CW36" s="42">
        <f>IslandModel_1000P[[#This Row],[Input 5]]</f>
        <v>0</v>
      </c>
      <c r="CX36" s="42">
        <f>-IslandModel_1000P[[#This Row],[Input 5 Consumed]]</f>
        <v>0</v>
      </c>
      <c r="CY36" s="42">
        <f>IslandModel_1000P[[#This Row],[Input 6]]</f>
        <v>0</v>
      </c>
      <c r="CZ36" s="42">
        <f>-IslandModel_1000P[[#This Row],[Input 6 Consumed]]</f>
        <v>0</v>
      </c>
      <c r="DA36" s="42">
        <f>IslandModel_1000P[[#This Row],[Input 7]]</f>
        <v>0</v>
      </c>
      <c r="DB36" s="42">
        <f>-IslandModel_1000P[[#This Row],[Input 7 Consumed]]</f>
        <v>0</v>
      </c>
      <c r="DC36" s="42">
        <f>IslandModel_1000P[[#This Row],[Input 8]]</f>
        <v>0</v>
      </c>
      <c r="DD36" s="42">
        <f>-IslandModel_1000P[[#This Row],[Input 8 Consumed]]</f>
        <v>0</v>
      </c>
      <c r="DE36" s="42">
        <f>IslandModel_1000P[[#This Row],[Input 9]]</f>
        <v>0</v>
      </c>
      <c r="DF36" s="42">
        <f>-IslandModel_1000P[[#This Row],[Input 9 Consumed]]</f>
        <v>0</v>
      </c>
      <c r="DG36" s="42">
        <f>IslandModel_1000P[[#This Row],[Input 10]]</f>
        <v>0</v>
      </c>
      <c r="DH36" s="42">
        <f>-IslandModel_1000P[[#This Row],[Input 10 Consumed]]</f>
        <v>0</v>
      </c>
      <c r="DJ36" s="55" t="s">
        <v>13</v>
      </c>
      <c r="DK36" s="39">
        <f>SUM(SUMIFS(IslandModel_1000P[Resource 1 Qty],IslandModel_1000P[Resource 1],ResourceAvailable_1000P[[#This Row],[Resource]]))</f>
        <v>0</v>
      </c>
      <c r="DL36"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36" s="39">
        <f>ResourceAvailable_1000P[[#This Row],[Amount Produced]]-ResourceAvailable_1000P[[#This Row],[Amount Consumed]]</f>
        <v>0</v>
      </c>
      <c r="DN36" s="20">
        <f>MAX(0,ResourceAvailable_1000P[[#This Row],[Amount Available for Resident Consumption]]-SUMIFS(ConsumptionModel_1000P[Resource Demand],ConsumptionModel_1000P[Resource],ResourceAvailable_1000P[[#This Row],[Resource]]))</f>
        <v>0</v>
      </c>
    </row>
    <row r="37" spans="2:118" ht="21" x14ac:dyDescent="0.65">
      <c r="B37" s="178">
        <f>ROW()</f>
        <v>37</v>
      </c>
      <c r="C37" s="70">
        <f>INDEX(ConsumptionModelInputs_1000P[Quantity],MATCH(ConsumptionModel_1000P[[#This Row],[Building]],ConsumptionModelInputs_1000P[Building],0))</f>
        <v>10</v>
      </c>
      <c r="D37" s="179" t="s">
        <v>57</v>
      </c>
      <c r="E37" s="179" t="s">
        <v>367</v>
      </c>
      <c r="F37" s="191" t="str">
        <f>IF(OR(ISBLANK(ConsumptionModel_1000P[[#This Row],[Building]]),ISBLANK(ConsumptionModel_1000P[[#This Row],[Resource]]))," - ",INDEX(Consumption[Type],MATCH(ConsumptionModel_1000P[[#This Row],[LookupValue]],Consumption[LookupValue],0)))</f>
        <v>Luxury</v>
      </c>
      <c r="G37" s="61" t="str">
        <f>IF(OR(ISBLANK(ConsumptionModel_1000P[[#This Row],[Building]]),ISBLANK(ConsumptionModel_1000P[[#This Row],[Resource]]))," - ",ConsumptionModel_1000P[[#This Row],[Building]]&amp;" - "&amp;ConsumptionModel_1000P[[#This Row],[Resource]])</f>
        <v>Townsmen's House - Fabric</v>
      </c>
      <c r="H37" s="62">
        <f>ConsumptionModel_1000P[[#This Row],[Quantity]]*INDEX(Consumption[Consumption/person/h],MATCH(ConsumptionModel_1000P[[#This Row],[LookupValue]],Consumption[LookupValue],0))*IFERROR(INDEX(ResidentBuildings[Residents],MATCH(ConsumptionModel_1000P[[#This Row],[Building]],ResidentBuildings[Building],0)),0)</f>
        <v>45</v>
      </c>
      <c r="I37"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60</v>
      </c>
      <c r="J37" s="57">
        <f>IF(ConsumptionModel_1000P[[#This Row],[Quantity]]=0,"",IF(AND(ConsumptionModel_1000P[[#This Row],[Resource Demand]]=0,ConsumptionModel_1000P[[#This Row],[Resource Available]]&gt;0),1,MIN(1,IFERROR(ConsumptionModel_1000P[[#This Row],[Resource Available]]/ConsumptionModel_1000P[[#This Row],[Resource Demand]],0))))</f>
        <v>1</v>
      </c>
      <c r="K37"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26.666666666666664</v>
      </c>
      <c r="O37" s="197" t="s">
        <v>337</v>
      </c>
      <c r="P37" s="71">
        <f>SUMIFS(ResourceAvailable_1000P[Amount Produced],ResourceAvailable_1000P[Resource],ResourceMonitor_1000P[[#This Row],[Resource]])</f>
        <v>2</v>
      </c>
      <c r="Q37" s="71">
        <f>SUMIFS(ResourceAvailable_1000P[Amount Consumed],ResourceAvailable_1000P[Resource],ResourceMonitor_1000P[[#This Row],[Resource]])</f>
        <v>0</v>
      </c>
      <c r="R37" s="71">
        <f>SUMIFS(ResourceAvailable_1000P[Amount Available for Resident Consumption],ResourceAvailable_1000P[Resource],ResourceMonitor_1000P[[#This Row],[Resource]])</f>
        <v>2</v>
      </c>
      <c r="S37" s="39">
        <f>MAX(0,ResourceMonitor_1000P[[#This Row],[Amount Available for Resident Consumption]]-SUMIFS(ConsumptionModel_1000P[Resource Demand],ConsumptionModel_1000P[Resource],ResourceMonitor_1000P[[#This Row],[Resource]]))</f>
        <v>2</v>
      </c>
      <c r="T37" s="39">
        <f>MIN(0,ResourceMonitor_1000P[[#This Row],[Amount Available for Resident Consumption]]-SUMIFS(ConsumptionModel_1000P[Resource Demand],ConsumptionModel_1000P[Resource],ResourceMonitor_1000P[[#This Row],[Resource]]))</f>
        <v>0</v>
      </c>
      <c r="U37" s="122">
        <f>IFERROR(INDEX(#REF!,MATCH(ResourceMonitor_1000P[[#This Row],[Resource]],#REF!,0)),0)</f>
        <v>0</v>
      </c>
      <c r="V37" s="194">
        <f>IFERROR(ResourceMonitor_1000P[[#This Row],[Amount Produced]]/ResourceMonitor_1000P[[#This Row],[Production Target]],0)</f>
        <v>0</v>
      </c>
      <c r="W37" s="133"/>
      <c r="X37" s="47">
        <f>IF(ResourceMonitor_1000P[[#This Row],[Ignore shipping needs?]]="Yes",0,ROUNDUP(ResourceMonitor_1000P[[#This Row],[Production Target]]/INDEX(ShipRequirementCalculator[Cargo capacity/h (return, 50% empty)],MATCH($X$15,ShipRequirementCalculator[Ship],0)),0))</f>
        <v>0</v>
      </c>
      <c r="Y37" s="47">
        <f>IF(ResourceMonitor_1000P[[#This Row],[Ignore shipping needs?]]="Yes",0,ROUNDUP(ResourceMonitor_1000P[[#This Row],[Production Target]]/INDEX(ShipRequirementCalculator[Cargo capacity/h (return, 50% empty)],MATCH($Y$15,ShipRequirementCalculator[Ship],0)),0))</f>
        <v>0</v>
      </c>
      <c r="Z37" s="47">
        <f>IF(ResourceMonitor_1000P[[#This Row],[Ignore shipping needs?]]="Yes",0,ROUNDUP(ResourceMonitor_1000P[[#This Row],[Production Target]]/INDEX(ShipRequirementCalculator[Cargo capacity/h (return, 50% empty)],MATCH($Z$15,ShipRequirementCalculator[Ship],0)),0))</f>
        <v>0</v>
      </c>
      <c r="AA37" s="124"/>
      <c r="AC37" s="102" t="s">
        <v>367</v>
      </c>
      <c r="AD37" s="83">
        <f>ROW()</f>
        <v>37</v>
      </c>
      <c r="AE37" s="74">
        <v>1</v>
      </c>
      <c r="AF37" s="50" t="s">
        <v>414</v>
      </c>
      <c r="AG37" s="18"/>
      <c r="AH37" s="74">
        <v>1</v>
      </c>
      <c r="AI37" s="156">
        <f>IFERROR(IslandModel_1000P[[#This Row],[Quantity]]/IslandModel_1000P[[#This Row],[Target Quantity]],0)</f>
        <v>1</v>
      </c>
      <c r="AJ37" s="61" t="str">
        <f>IFERROR(INDEX(Production[Resource Produced],MATCH(IslandModel_1000P[[#This Row],[Building]],Production[Building],0)),"")</f>
        <v>Fabric</v>
      </c>
      <c r="AK37" s="99">
        <f>IFERROR(IslandModel_1000P[[#This Row],[Quantity]]*INDEX(Production[Production in 1h],MATCH(IslandModel_1000P[[#This Row],[Building]],Production[Building],0))*IslandModel_1000P[[#This Row],[Input Consumption Multiplier]],0)</f>
        <v>45</v>
      </c>
      <c r="AL37" s="115">
        <f>100%</f>
        <v>1</v>
      </c>
      <c r="AM37"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37" s="77" t="str">
        <f>IFERROR(INDEX(Production[Input 1],MATCH(IslandModel_1000P[[#This Row],[Building]],Production[Building],0)),"")</f>
        <v>Land tile</v>
      </c>
      <c r="AO37" s="78"/>
      <c r="AP37"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v>
      </c>
      <c r="AQ37"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2650.5</v>
      </c>
      <c r="AR37"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v>
      </c>
      <c r="AS37" s="35" t="str">
        <f>IFERROR(INDEX(Production[Input 2],MATCH(IslandModel_1000P[[#This Row],[Building]],Production[Building],0)),"")</f>
        <v>Yarn</v>
      </c>
      <c r="AT37" s="78"/>
      <c r="AU37"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90</v>
      </c>
      <c r="AV37"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120</v>
      </c>
      <c r="AW37"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90</v>
      </c>
      <c r="AX37" s="35">
        <f>IFERROR(INDEX(Production[Input 3],MATCH(IslandModel_1000P[[#This Row],[Building]],Production[Building],0)),"")</f>
        <v>0</v>
      </c>
      <c r="AY37" s="78"/>
      <c r="AZ37"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37"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37"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37" s="35">
        <f>IFERROR(INDEX(Production[Input 4],MATCH(IslandModel_1000P[[#This Row],[Building]],Production[Building],0)),"")</f>
        <v>0</v>
      </c>
      <c r="BD37" s="78"/>
      <c r="BE37"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37"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37"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37" s="35">
        <f>IFERROR(INDEX(Production[Input 5],MATCH(IslandModel_1000P[[#This Row],[Building]],Production[Building],0)),"")</f>
        <v>0</v>
      </c>
      <c r="BI37" s="78"/>
      <c r="BJ37"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37"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37"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37" s="35">
        <f>IFERROR(INDEX(Production[Input 6],MATCH(IslandModel_1000P[[#This Row],[Building]],Production[Building],0)),"")</f>
        <v>0</v>
      </c>
      <c r="BN37" s="78"/>
      <c r="BO37"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37"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37"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37" s="35">
        <f>IFERROR(INDEX(Production[Input 7],MATCH(IslandModel_1000P[[#This Row],[Building]],Production[Building],0)),"")</f>
        <v>0</v>
      </c>
      <c r="BS37" s="78"/>
      <c r="BT37"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37"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37"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37" s="35">
        <f>IFERROR(INDEX(Production[Input 8],MATCH(IslandModel_1000P[[#This Row],[Building]],Production[Building],0)),"")</f>
        <v>0</v>
      </c>
      <c r="BX37" s="78"/>
      <c r="BY37"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37"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37"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37" s="35">
        <f>IFERROR(INDEX(Production[Input 9],MATCH(IslandModel_1000P[[#This Row],[Building]],Production[Building],0)),"")</f>
        <v>0</v>
      </c>
      <c r="CC37" s="78"/>
      <c r="CD37"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37"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37"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37" s="35">
        <f>IFERROR(INDEX(Production[Input 10],MATCH(IslandModel_1000P[[#This Row],[Building]],Production[Building],0)),"")</f>
        <v>0</v>
      </c>
      <c r="CH37" s="78"/>
      <c r="CI37"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37"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37"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37"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37" s="82" t="str">
        <f>IslandModel_1000P[[#This Row],[Resource Produced]]</f>
        <v>Fabric</v>
      </c>
      <c r="CN37" s="42">
        <f>IslandModel_1000P[[#This Row],[Amount produced/h]]</f>
        <v>45</v>
      </c>
      <c r="CO37" s="42" t="str">
        <f>IslandModel_1000P[[#This Row],[Input 1]]</f>
        <v>Land tile</v>
      </c>
      <c r="CP37" s="42">
        <f>-IslandModel_1000P[[#This Row],[Input 1 Consumed]]</f>
        <v>-1</v>
      </c>
      <c r="CQ37" s="42" t="str">
        <f>IslandModel_1000P[[#This Row],[Input 2]]</f>
        <v>Yarn</v>
      </c>
      <c r="CR37" s="42">
        <f>-IslandModel_1000P[[#This Row],[Input 2 Consumed]]</f>
        <v>-90</v>
      </c>
      <c r="CS37" s="42">
        <f>IslandModel_1000P[[#This Row],[Input 3]]</f>
        <v>0</v>
      </c>
      <c r="CT37" s="42">
        <f>-IslandModel_1000P[[#This Row],[Input 3 Consumed]]</f>
        <v>0</v>
      </c>
      <c r="CU37" s="42">
        <f>IslandModel_1000P[[#This Row],[Input 4]]</f>
        <v>0</v>
      </c>
      <c r="CV37" s="42">
        <f>-IslandModel_1000P[[#This Row],[Input 4 Consumed]]</f>
        <v>0</v>
      </c>
      <c r="CW37" s="42">
        <f>IslandModel_1000P[[#This Row],[Input 5]]</f>
        <v>0</v>
      </c>
      <c r="CX37" s="42">
        <f>-IslandModel_1000P[[#This Row],[Input 5 Consumed]]</f>
        <v>0</v>
      </c>
      <c r="CY37" s="42">
        <f>IslandModel_1000P[[#This Row],[Input 6]]</f>
        <v>0</v>
      </c>
      <c r="CZ37" s="42">
        <f>-IslandModel_1000P[[#This Row],[Input 6 Consumed]]</f>
        <v>0</v>
      </c>
      <c r="DA37" s="42">
        <f>IslandModel_1000P[[#This Row],[Input 7]]</f>
        <v>0</v>
      </c>
      <c r="DB37" s="42">
        <f>-IslandModel_1000P[[#This Row],[Input 7 Consumed]]</f>
        <v>0</v>
      </c>
      <c r="DC37" s="42">
        <f>IslandModel_1000P[[#This Row],[Input 8]]</f>
        <v>0</v>
      </c>
      <c r="DD37" s="42">
        <f>-IslandModel_1000P[[#This Row],[Input 8 Consumed]]</f>
        <v>0</v>
      </c>
      <c r="DE37" s="42">
        <f>IslandModel_1000P[[#This Row],[Input 9]]</f>
        <v>0</v>
      </c>
      <c r="DF37" s="42">
        <f>-IslandModel_1000P[[#This Row],[Input 9 Consumed]]</f>
        <v>0</v>
      </c>
      <c r="DG37" s="42">
        <f>IslandModel_1000P[[#This Row],[Input 10]]</f>
        <v>0</v>
      </c>
      <c r="DH37" s="42">
        <f>-IslandModel_1000P[[#This Row],[Input 10 Consumed]]</f>
        <v>0</v>
      </c>
      <c r="DJ37" s="55" t="s">
        <v>116</v>
      </c>
      <c r="DK37" s="39">
        <f>SUM(SUMIFS(IslandModel_1000P[Resource 1 Qty],IslandModel_1000P[Resource 1],ResourceAvailable_1000P[[#This Row],[Resource]]))</f>
        <v>240</v>
      </c>
      <c r="DL37"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37" s="39">
        <f>ResourceAvailable_1000P[[#This Row],[Amount Produced]]-ResourceAvailable_1000P[[#This Row],[Amount Consumed]]</f>
        <v>240</v>
      </c>
      <c r="DN37" s="20">
        <f>MAX(0,ResourceAvailable_1000P[[#This Row],[Amount Available for Resident Consumption]]-SUMIFS(ConsumptionModel_1000P[Resource Demand],ConsumptionModel_1000P[Resource],ResourceAvailable_1000P[[#This Row],[Resource]]))</f>
        <v>12</v>
      </c>
    </row>
    <row r="38" spans="2:118" ht="21" x14ac:dyDescent="0.65">
      <c r="B38" s="178">
        <f>ROW()</f>
        <v>38</v>
      </c>
      <c r="C38" s="70">
        <f>INDEX(ConsumptionModelInputs_1000P[Quantity],MATCH(ConsumptionModel_1000P[[#This Row],[Building]],ConsumptionModelInputs_1000P[Building],0))</f>
        <v>10</v>
      </c>
      <c r="D38" s="179" t="s">
        <v>57</v>
      </c>
      <c r="E38" s="179" t="s">
        <v>108</v>
      </c>
      <c r="F38" s="191" t="str">
        <f>IF(OR(ISBLANK(ConsumptionModel_1000P[[#This Row],[Building]]),ISBLANK(ConsumptionModel_1000P[[#This Row],[Resource]]))," - ",INDEX(Consumption[Type],MATCH(ConsumptionModel_1000P[[#This Row],[LookupValue]],Consumption[LookupValue],0)))</f>
        <v>Luxury</v>
      </c>
      <c r="G38" s="61" t="str">
        <f>IF(OR(ISBLANK(ConsumptionModel_1000P[[#This Row],[Building]]),ISBLANK(ConsumptionModel_1000P[[#This Row],[Resource]]))," - ",ConsumptionModel_1000P[[#This Row],[Building]]&amp;" - "&amp;ConsumptionModel_1000P[[#This Row],[Resource]])</f>
        <v>Townsmen's House - Bread</v>
      </c>
      <c r="H38" s="62">
        <f>ConsumptionModel_1000P[[#This Row],[Quantity]]*INDEX(Consumption[Consumption/person/h],MATCH(ConsumptionModel_1000P[[#This Row],[LookupValue]],Consumption[LookupValue],0))*IFERROR(INDEX(ResidentBuildings[Residents],MATCH(ConsumptionModel_1000P[[#This Row],[Building]],ResidentBuildings[Building],0)),0)</f>
        <v>45</v>
      </c>
      <c r="I38"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120</v>
      </c>
      <c r="J38" s="57">
        <f>IF(ConsumptionModel_1000P[[#This Row],[Quantity]]=0,"",IF(AND(ConsumptionModel_1000P[[#This Row],[Resource Demand]]=0,ConsumptionModel_1000P[[#This Row],[Resource Available]]&gt;0),1,MIN(1,IFERROR(ConsumptionModel_1000P[[#This Row],[Resource Available]]/ConsumptionModel_1000P[[#This Row],[Resource Demand]],0))))</f>
        <v>1</v>
      </c>
      <c r="K38"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26.666666666666664</v>
      </c>
      <c r="O38" s="197" t="s">
        <v>372</v>
      </c>
      <c r="P38" s="71">
        <f>SUMIFS(ResourceAvailable_1000P[Amount Produced],ResourceAvailable_1000P[Resource],ResourceMonitor_1000P[[#This Row],[Resource]])</f>
        <v>245.625</v>
      </c>
      <c r="Q38" s="71">
        <f>SUMIFS(ResourceAvailable_1000P[Amount Consumed],ResourceAvailable_1000P[Resource],ResourceMonitor_1000P[[#This Row],[Resource]])</f>
        <v>0</v>
      </c>
      <c r="R38" s="71">
        <f>SUMIFS(ResourceAvailable_1000P[Amount Available for Resident Consumption],ResourceAvailable_1000P[Resource],ResourceMonitor_1000P[[#This Row],[Resource]])</f>
        <v>245.625</v>
      </c>
      <c r="S38" s="39">
        <f>MAX(0,ResourceMonitor_1000P[[#This Row],[Amount Available for Resident Consumption]]-SUMIFS(ConsumptionModel_1000P[Resource Demand],ConsumptionModel_1000P[Resource],ResourceMonitor_1000P[[#This Row],[Resource]]))</f>
        <v>0.82499999999998863</v>
      </c>
      <c r="T38" s="39">
        <f>MIN(0,ResourceMonitor_1000P[[#This Row],[Amount Available for Resident Consumption]]-SUMIFS(ConsumptionModel_1000P[Resource Demand],ConsumptionModel_1000P[Resource],ResourceMonitor_1000P[[#This Row],[Resource]]))</f>
        <v>0</v>
      </c>
      <c r="U38" s="122">
        <f>IFERROR(INDEX(#REF!,MATCH(ResourceMonitor_1000P[[#This Row],[Resource]],#REF!,0)),0)</f>
        <v>0</v>
      </c>
      <c r="V38" s="194">
        <f>IFERROR(ResourceMonitor_1000P[[#This Row],[Amount Produced]]/ResourceMonitor_1000P[[#This Row],[Production Target]],0)</f>
        <v>0</v>
      </c>
      <c r="W38" s="133"/>
      <c r="X38" s="47">
        <f>IF(ResourceMonitor_1000P[[#This Row],[Ignore shipping needs?]]="Yes",0,ROUNDUP(ResourceMonitor_1000P[[#This Row],[Production Target]]/INDEX(ShipRequirementCalculator[Cargo capacity/h (return, 50% empty)],MATCH($X$15,ShipRequirementCalculator[Ship],0)),0))</f>
        <v>0</v>
      </c>
      <c r="Y38" s="47">
        <f>IF(ResourceMonitor_1000P[[#This Row],[Ignore shipping needs?]]="Yes",0,ROUNDUP(ResourceMonitor_1000P[[#This Row],[Production Target]]/INDEX(ShipRequirementCalculator[Cargo capacity/h (return, 50% empty)],MATCH($Y$15,ShipRequirementCalculator[Ship],0)),0))</f>
        <v>0</v>
      </c>
      <c r="Z38" s="47">
        <f>IF(ResourceMonitor_1000P[[#This Row],[Ignore shipping needs?]]="Yes",0,ROUNDUP(ResourceMonitor_1000P[[#This Row],[Production Target]]/INDEX(ShipRequirementCalculator[Cargo capacity/h (return, 50% empty)],MATCH($Z$15,ShipRequirementCalculator[Ship],0)),0))</f>
        <v>0</v>
      </c>
      <c r="AA38" s="124"/>
      <c r="AC38" s="103" t="s">
        <v>108</v>
      </c>
      <c r="AD38" s="83">
        <f>ROW()</f>
        <v>38</v>
      </c>
      <c r="AE38" s="74">
        <f>AE39*8</f>
        <v>64</v>
      </c>
      <c r="AF38" s="72" t="s">
        <v>101</v>
      </c>
      <c r="AG38" s="18"/>
      <c r="AH38" s="74">
        <f>AH39*8</f>
        <v>64</v>
      </c>
      <c r="AI38" s="156">
        <f>IFERROR(IslandModel_1000P[[#This Row],[Quantity]]/IslandModel_1000P[[#This Row],[Target Quantity]],0)</f>
        <v>1</v>
      </c>
      <c r="AJ38" s="61" t="str">
        <f>IFERROR(INDEX(Production[Resource Produced],MATCH(IslandModel_1000P[[#This Row],[Building]],Production[Building],0)),"")</f>
        <v>Wheat Field</v>
      </c>
      <c r="AK38" s="99">
        <f>IFERROR(IslandModel_1000P[[#This Row],[Quantity]]*INDEX(Production[Production in 1h],MATCH(IslandModel_1000P[[#This Row],[Building]],Production[Building],0))*IslandModel_1000P[[#This Row],[Input Consumption Multiplier]],0)</f>
        <v>64</v>
      </c>
      <c r="AL38" s="115">
        <f>100%</f>
        <v>1</v>
      </c>
      <c r="AM38"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38" s="77" t="str">
        <f>IFERROR(INDEX(Production[Input 1],MATCH(IslandModel_1000P[[#This Row],[Building]],Production[Building],0)),"")</f>
        <v>Land tile</v>
      </c>
      <c r="AO38" s="78"/>
      <c r="AP38"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64</v>
      </c>
      <c r="AQ38"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2649.5</v>
      </c>
      <c r="AR38"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64</v>
      </c>
      <c r="AS38" s="35">
        <f>IFERROR(INDEX(Production[Input 2],MATCH(IslandModel_1000P[[#This Row],[Building]],Production[Building],0)),"")</f>
        <v>0</v>
      </c>
      <c r="AT38" s="78"/>
      <c r="AU38"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38"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38"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38" s="35">
        <f>IFERROR(INDEX(Production[Input 3],MATCH(IslandModel_1000P[[#This Row],[Building]],Production[Building],0)),"")</f>
        <v>0</v>
      </c>
      <c r="AY38" s="78"/>
      <c r="AZ38"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38"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38"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38" s="35">
        <f>IFERROR(INDEX(Production[Input 4],MATCH(IslandModel_1000P[[#This Row],[Building]],Production[Building],0)),"")</f>
        <v>0</v>
      </c>
      <c r="BD38" s="78"/>
      <c r="BE38"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38"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38"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38" s="35">
        <f>IFERROR(INDEX(Production[Input 5],MATCH(IslandModel_1000P[[#This Row],[Building]],Production[Building],0)),"")</f>
        <v>0</v>
      </c>
      <c r="BI38" s="78"/>
      <c r="BJ38"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38"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38"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38" s="35">
        <f>IFERROR(INDEX(Production[Input 6],MATCH(IslandModel_1000P[[#This Row],[Building]],Production[Building],0)),"")</f>
        <v>0</v>
      </c>
      <c r="BN38" s="78"/>
      <c r="BO38"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38"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38"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38" s="35">
        <f>IFERROR(INDEX(Production[Input 7],MATCH(IslandModel_1000P[[#This Row],[Building]],Production[Building],0)),"")</f>
        <v>0</v>
      </c>
      <c r="BS38" s="78"/>
      <c r="BT38"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38"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38"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38" s="35">
        <f>IFERROR(INDEX(Production[Input 8],MATCH(IslandModel_1000P[[#This Row],[Building]],Production[Building],0)),"")</f>
        <v>0</v>
      </c>
      <c r="BX38" s="78"/>
      <c r="BY38"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38"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38"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38" s="35">
        <f>IFERROR(INDEX(Production[Input 9],MATCH(IslandModel_1000P[[#This Row],[Building]],Production[Building],0)),"")</f>
        <v>0</v>
      </c>
      <c r="CC38" s="78"/>
      <c r="CD38"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38"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38"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38" s="35">
        <f>IFERROR(INDEX(Production[Input 10],MATCH(IslandModel_1000P[[#This Row],[Building]],Production[Building],0)),"")</f>
        <v>0</v>
      </c>
      <c r="CH38" s="78"/>
      <c r="CI38"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38"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38"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38"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38" s="82" t="str">
        <f>IslandModel_1000P[[#This Row],[Resource Produced]]</f>
        <v>Wheat Field</v>
      </c>
      <c r="CN38" s="42">
        <f>IslandModel_1000P[[#This Row],[Amount produced/h]]</f>
        <v>64</v>
      </c>
      <c r="CO38" s="42" t="str">
        <f>IslandModel_1000P[[#This Row],[Input 1]]</f>
        <v>Land tile</v>
      </c>
      <c r="CP38" s="42">
        <f>-IslandModel_1000P[[#This Row],[Input 1 Consumed]]</f>
        <v>-64</v>
      </c>
      <c r="CQ38" s="42">
        <f>IslandModel_1000P[[#This Row],[Input 2]]</f>
        <v>0</v>
      </c>
      <c r="CR38" s="42">
        <f>-IslandModel_1000P[[#This Row],[Input 2 Consumed]]</f>
        <v>0</v>
      </c>
      <c r="CS38" s="42">
        <f>IslandModel_1000P[[#This Row],[Input 3]]</f>
        <v>0</v>
      </c>
      <c r="CT38" s="42">
        <f>-IslandModel_1000P[[#This Row],[Input 3 Consumed]]</f>
        <v>0</v>
      </c>
      <c r="CU38" s="42">
        <f>IslandModel_1000P[[#This Row],[Input 4]]</f>
        <v>0</v>
      </c>
      <c r="CV38" s="42">
        <f>-IslandModel_1000P[[#This Row],[Input 4 Consumed]]</f>
        <v>0</v>
      </c>
      <c r="CW38" s="42">
        <f>IslandModel_1000P[[#This Row],[Input 5]]</f>
        <v>0</v>
      </c>
      <c r="CX38" s="42">
        <f>-IslandModel_1000P[[#This Row],[Input 5 Consumed]]</f>
        <v>0</v>
      </c>
      <c r="CY38" s="42">
        <f>IslandModel_1000P[[#This Row],[Input 6]]</f>
        <v>0</v>
      </c>
      <c r="CZ38" s="42">
        <f>-IslandModel_1000P[[#This Row],[Input 6 Consumed]]</f>
        <v>0</v>
      </c>
      <c r="DA38" s="42">
        <f>IslandModel_1000P[[#This Row],[Input 7]]</f>
        <v>0</v>
      </c>
      <c r="DB38" s="42">
        <f>-IslandModel_1000P[[#This Row],[Input 7 Consumed]]</f>
        <v>0</v>
      </c>
      <c r="DC38" s="42">
        <f>IslandModel_1000P[[#This Row],[Input 8]]</f>
        <v>0</v>
      </c>
      <c r="DD38" s="42">
        <f>-IslandModel_1000P[[#This Row],[Input 8 Consumed]]</f>
        <v>0</v>
      </c>
      <c r="DE38" s="42">
        <f>IslandModel_1000P[[#This Row],[Input 9]]</f>
        <v>0</v>
      </c>
      <c r="DF38" s="42">
        <f>-IslandModel_1000P[[#This Row],[Input 9 Consumed]]</f>
        <v>0</v>
      </c>
      <c r="DG38" s="42">
        <f>IslandModel_1000P[[#This Row],[Input 10]]</f>
        <v>0</v>
      </c>
      <c r="DH38" s="42">
        <f>-IslandModel_1000P[[#This Row],[Input 10 Consumed]]</f>
        <v>0</v>
      </c>
      <c r="DJ38" t="s">
        <v>124</v>
      </c>
      <c r="DK38" s="39">
        <f>SUM(SUMIFS(IslandModel_1000P[Resource 1 Qty],IslandModel_1000P[Resource 1],ResourceAvailable_1000P[[#This Row],[Resource]]))</f>
        <v>0</v>
      </c>
      <c r="DL38"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38" s="39">
        <f>ResourceAvailable_1000P[[#This Row],[Amount Produced]]-ResourceAvailable_1000P[[#This Row],[Amount Consumed]]</f>
        <v>0</v>
      </c>
      <c r="DN38" s="20">
        <f>MAX(0,ResourceAvailable_1000P[[#This Row],[Amount Available for Resident Consumption]]-SUMIFS(ConsumptionModel_1000P[Resource Demand],ConsumptionModel_1000P[Resource],ResourceAvailable_1000P[[#This Row],[Resource]]))</f>
        <v>0</v>
      </c>
    </row>
    <row r="39" spans="2:118" ht="21" x14ac:dyDescent="0.65">
      <c r="B39" s="178">
        <f>ROW()</f>
        <v>39</v>
      </c>
      <c r="C39" s="70">
        <f>INDEX(ConsumptionModelInputs_1000P[Quantity],MATCH(ConsumptionModel_1000P[[#This Row],[Building]],ConsumptionModelInputs_1000P[Building],0))</f>
        <v>10</v>
      </c>
      <c r="D39" s="179" t="s">
        <v>57</v>
      </c>
      <c r="E39" s="179" t="s">
        <v>116</v>
      </c>
      <c r="F39" s="191" t="str">
        <f>IF(OR(ISBLANK(ConsumptionModel_1000P[[#This Row],[Building]]),ISBLANK(ConsumptionModel_1000P[[#This Row],[Resource]]))," - ",INDEX(Consumption[Type],MATCH(ConsumptionModel_1000P[[#This Row],[LookupValue]],Consumption[LookupValue],0)))</f>
        <v>Luxury</v>
      </c>
      <c r="G39" s="61" t="str">
        <f>IF(OR(ISBLANK(ConsumptionModel_1000P[[#This Row],[Building]]),ISBLANK(ConsumptionModel_1000P[[#This Row],[Resource]]))," - ",ConsumptionModel_1000P[[#This Row],[Building]]&amp;" - "&amp;ConsumptionModel_1000P[[#This Row],[Resource]])</f>
        <v>Townsmen's House - Cigar</v>
      </c>
      <c r="H39" s="62">
        <f>ConsumptionModel_1000P[[#This Row],[Quantity]]*INDEX(Consumption[Consumption/person/h],MATCH(ConsumptionModel_1000P[[#This Row],[LookupValue]],Consumption[LookupValue],0))*IFERROR(INDEX(ResidentBuildings[Residents],MATCH(ConsumptionModel_1000P[[#This Row],[Building]],ResidentBuildings[Building],0)),0)</f>
        <v>30</v>
      </c>
      <c r="I39"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240</v>
      </c>
      <c r="J39" s="57">
        <f>IF(ConsumptionModel_1000P[[#This Row],[Quantity]]=0,"",IF(AND(ConsumptionModel_1000P[[#This Row],[Resource Demand]]=0,ConsumptionModel_1000P[[#This Row],[Resource Available]]&gt;0),1,MIN(1,IFERROR(ConsumptionModel_1000P[[#This Row],[Resource Available]]/ConsumptionModel_1000P[[#This Row],[Resource Demand]],0))))</f>
        <v>1</v>
      </c>
      <c r="K39"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26.666666666666664</v>
      </c>
      <c r="O39" s="197" t="s">
        <v>374</v>
      </c>
      <c r="P39" s="71">
        <f>SUMIFS(ResourceAvailable_1000P[Amount Produced],ResourceAvailable_1000P[Resource],ResourceMonitor_1000P[[#This Row],[Resource]])</f>
        <v>135</v>
      </c>
      <c r="Q39" s="71">
        <f>SUMIFS(ResourceAvailable_1000P[Amount Consumed],ResourceAvailable_1000P[Resource],ResourceMonitor_1000P[[#This Row],[Resource]])</f>
        <v>0</v>
      </c>
      <c r="R39" s="71">
        <f>SUMIFS(ResourceAvailable_1000P[Amount Available for Resident Consumption],ResourceAvailable_1000P[Resource],ResourceMonitor_1000P[[#This Row],[Resource]])</f>
        <v>135</v>
      </c>
      <c r="S39" s="39">
        <f>MAX(0,ResourceMonitor_1000P[[#This Row],[Amount Available for Resident Consumption]]-SUMIFS(ConsumptionModel_1000P[Resource Demand],ConsumptionModel_1000P[Resource],ResourceMonitor_1000P[[#This Row],[Resource]]))</f>
        <v>12.599999999999994</v>
      </c>
      <c r="T39" s="39">
        <f>MIN(0,ResourceMonitor_1000P[[#This Row],[Amount Available for Resident Consumption]]-SUMIFS(ConsumptionModel_1000P[Resource Demand],ConsumptionModel_1000P[Resource],ResourceMonitor_1000P[[#This Row],[Resource]]))</f>
        <v>0</v>
      </c>
      <c r="U39" s="122">
        <f>IFERROR(INDEX(#REF!,MATCH(ResourceMonitor_1000P[[#This Row],[Resource]],#REF!,0)),0)</f>
        <v>0</v>
      </c>
      <c r="V39" s="194">
        <f>IFERROR(ResourceMonitor_1000P[[#This Row],[Amount Produced]]/ResourceMonitor_1000P[[#This Row],[Production Target]],0)</f>
        <v>0</v>
      </c>
      <c r="W39" s="133"/>
      <c r="X39" s="47">
        <f>IF(ResourceMonitor_1000P[[#This Row],[Ignore shipping needs?]]="Yes",0,ROUNDUP(ResourceMonitor_1000P[[#This Row],[Production Target]]/INDEX(ShipRequirementCalculator[Cargo capacity/h (return, 50% empty)],MATCH($X$15,ShipRequirementCalculator[Ship],0)),0))</f>
        <v>0</v>
      </c>
      <c r="Y39" s="47">
        <f>IF(ResourceMonitor_1000P[[#This Row],[Ignore shipping needs?]]="Yes",0,ROUNDUP(ResourceMonitor_1000P[[#This Row],[Production Target]]/INDEX(ShipRequirementCalculator[Cargo capacity/h (return, 50% empty)],MATCH($Y$15,ShipRequirementCalculator[Ship],0)),0))</f>
        <v>0</v>
      </c>
      <c r="Z39" s="47">
        <f>IF(ResourceMonitor_1000P[[#This Row],[Ignore shipping needs?]]="Yes",0,ROUNDUP(ResourceMonitor_1000P[[#This Row],[Production Target]]/INDEX(ShipRequirementCalculator[Cargo capacity/h (return, 50% empty)],MATCH($Z$15,ShipRequirementCalculator[Ship],0)),0))</f>
        <v>0</v>
      </c>
      <c r="AA39" s="124"/>
      <c r="AC39" s="103" t="s">
        <v>108</v>
      </c>
      <c r="AD39" s="83">
        <f>ROW()</f>
        <v>39</v>
      </c>
      <c r="AE39" s="74">
        <v>8</v>
      </c>
      <c r="AF39" s="72" t="s">
        <v>103</v>
      </c>
      <c r="AG39" s="18"/>
      <c r="AH39" s="74">
        <v>8</v>
      </c>
      <c r="AI39" s="156">
        <f>IFERROR(IslandModel_1000P[[#This Row],[Quantity]]/IslandModel_1000P[[#This Row],[Target Quantity]],0)</f>
        <v>1</v>
      </c>
      <c r="AJ39" s="61" t="str">
        <f>IFERROR(INDEX(Production[Resource Produced],MATCH(IslandModel_1000P[[#This Row],[Building]],Production[Building],0)),"")</f>
        <v>Wheat</v>
      </c>
      <c r="AK39" s="99">
        <f>IFERROR(IslandModel_1000P[[#This Row],[Quantity]]*INDEX(Production[Production in 1h],MATCH(IslandModel_1000P[[#This Row],[Building]],Production[Building],0))*IslandModel_1000P[[#This Row],[Input Consumption Multiplier]],0)</f>
        <v>240</v>
      </c>
      <c r="AL39" s="115">
        <f>100%</f>
        <v>1</v>
      </c>
      <c r="AM39"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39" s="77" t="str">
        <f>IFERROR(INDEX(Production[Input 1],MATCH(IslandModel_1000P[[#This Row],[Building]],Production[Building],0)),"")</f>
        <v>Land tile</v>
      </c>
      <c r="AO39" s="78"/>
      <c r="AP39"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8</v>
      </c>
      <c r="AQ39"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2585.5</v>
      </c>
      <c r="AR39"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8</v>
      </c>
      <c r="AS39" s="35" t="str">
        <f>IFERROR(INDEX(Production[Input 2],MATCH(IslandModel_1000P[[#This Row],[Building]],Production[Building],0)),"")</f>
        <v>Wheat Field</v>
      </c>
      <c r="AT39" s="78"/>
      <c r="AU39"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64</v>
      </c>
      <c r="AV39"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64</v>
      </c>
      <c r="AW39"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64</v>
      </c>
      <c r="AX39" s="35">
        <f>IFERROR(INDEX(Production[Input 3],MATCH(IslandModel_1000P[[#This Row],[Building]],Production[Building],0)),"")</f>
        <v>0</v>
      </c>
      <c r="AY39" s="78"/>
      <c r="AZ39"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39"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39"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39" s="35">
        <f>IFERROR(INDEX(Production[Input 4],MATCH(IslandModel_1000P[[#This Row],[Building]],Production[Building],0)),"")</f>
        <v>0</v>
      </c>
      <c r="BD39" s="78"/>
      <c r="BE39"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39"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39"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39" s="35">
        <f>IFERROR(INDEX(Production[Input 5],MATCH(IslandModel_1000P[[#This Row],[Building]],Production[Building],0)),"")</f>
        <v>0</v>
      </c>
      <c r="BI39" s="78"/>
      <c r="BJ39"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39"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39"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39" s="35">
        <f>IFERROR(INDEX(Production[Input 6],MATCH(IslandModel_1000P[[#This Row],[Building]],Production[Building],0)),"")</f>
        <v>0</v>
      </c>
      <c r="BN39" s="78"/>
      <c r="BO39"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39"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39"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39" s="35">
        <f>IFERROR(INDEX(Production[Input 7],MATCH(IslandModel_1000P[[#This Row],[Building]],Production[Building],0)),"")</f>
        <v>0</v>
      </c>
      <c r="BS39" s="78"/>
      <c r="BT39"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39"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39"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39" s="35">
        <f>IFERROR(INDEX(Production[Input 8],MATCH(IslandModel_1000P[[#This Row],[Building]],Production[Building],0)),"")</f>
        <v>0</v>
      </c>
      <c r="BX39" s="78"/>
      <c r="BY39"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39"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39"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39" s="35">
        <f>IFERROR(INDEX(Production[Input 9],MATCH(IslandModel_1000P[[#This Row],[Building]],Production[Building],0)),"")</f>
        <v>0</v>
      </c>
      <c r="CC39" s="78"/>
      <c r="CD39"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39"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39"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39" s="35">
        <f>IFERROR(INDEX(Production[Input 10],MATCH(IslandModel_1000P[[#This Row],[Building]],Production[Building],0)),"")</f>
        <v>0</v>
      </c>
      <c r="CH39" s="78"/>
      <c r="CI39"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39"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39"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39"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39" s="82" t="str">
        <f>IslandModel_1000P[[#This Row],[Resource Produced]]</f>
        <v>Wheat</v>
      </c>
      <c r="CN39" s="42">
        <f>IslandModel_1000P[[#This Row],[Amount produced/h]]</f>
        <v>240</v>
      </c>
      <c r="CO39" s="42" t="str">
        <f>IslandModel_1000P[[#This Row],[Input 1]]</f>
        <v>Land tile</v>
      </c>
      <c r="CP39" s="42">
        <f>-IslandModel_1000P[[#This Row],[Input 1 Consumed]]</f>
        <v>-8</v>
      </c>
      <c r="CQ39" s="42" t="str">
        <f>IslandModel_1000P[[#This Row],[Input 2]]</f>
        <v>Wheat Field</v>
      </c>
      <c r="CR39" s="42">
        <f>-IslandModel_1000P[[#This Row],[Input 2 Consumed]]</f>
        <v>-64</v>
      </c>
      <c r="CS39" s="42">
        <f>IslandModel_1000P[[#This Row],[Input 3]]</f>
        <v>0</v>
      </c>
      <c r="CT39" s="42">
        <f>-IslandModel_1000P[[#This Row],[Input 3 Consumed]]</f>
        <v>0</v>
      </c>
      <c r="CU39" s="42">
        <f>IslandModel_1000P[[#This Row],[Input 4]]</f>
        <v>0</v>
      </c>
      <c r="CV39" s="42">
        <f>-IslandModel_1000P[[#This Row],[Input 4 Consumed]]</f>
        <v>0</v>
      </c>
      <c r="CW39" s="42">
        <f>IslandModel_1000P[[#This Row],[Input 5]]</f>
        <v>0</v>
      </c>
      <c r="CX39" s="42">
        <f>-IslandModel_1000P[[#This Row],[Input 5 Consumed]]</f>
        <v>0</v>
      </c>
      <c r="CY39" s="42">
        <f>IslandModel_1000P[[#This Row],[Input 6]]</f>
        <v>0</v>
      </c>
      <c r="CZ39" s="42">
        <f>-IslandModel_1000P[[#This Row],[Input 6 Consumed]]</f>
        <v>0</v>
      </c>
      <c r="DA39" s="42">
        <f>IslandModel_1000P[[#This Row],[Input 7]]</f>
        <v>0</v>
      </c>
      <c r="DB39" s="42">
        <f>-IslandModel_1000P[[#This Row],[Input 7 Consumed]]</f>
        <v>0</v>
      </c>
      <c r="DC39" s="42">
        <f>IslandModel_1000P[[#This Row],[Input 8]]</f>
        <v>0</v>
      </c>
      <c r="DD39" s="42">
        <f>-IslandModel_1000P[[#This Row],[Input 8 Consumed]]</f>
        <v>0</v>
      </c>
      <c r="DE39" s="42">
        <f>IslandModel_1000P[[#This Row],[Input 9]]</f>
        <v>0</v>
      </c>
      <c r="DF39" s="42">
        <f>-IslandModel_1000P[[#This Row],[Input 9 Consumed]]</f>
        <v>0</v>
      </c>
      <c r="DG39" s="42">
        <f>IslandModel_1000P[[#This Row],[Input 10]]</f>
        <v>0</v>
      </c>
      <c r="DH39" s="42">
        <f>-IslandModel_1000P[[#This Row],[Input 10 Consumed]]</f>
        <v>0</v>
      </c>
      <c r="DJ39" s="55" t="s">
        <v>82</v>
      </c>
      <c r="DK39" s="39">
        <f>SUM(SUMIFS(IslandModel_1000P[Resource 1 Qty],IslandModel_1000P[Resource 1],ResourceAvailable_1000P[[#This Row],[Resource]]))</f>
        <v>0</v>
      </c>
      <c r="DL39"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39" s="39">
        <f>ResourceAvailable_1000P[[#This Row],[Amount Produced]]-ResourceAvailable_1000P[[#This Row],[Amount Consumed]]</f>
        <v>0</v>
      </c>
      <c r="DN39" s="20">
        <f>MAX(0,ResourceAvailable_1000P[[#This Row],[Amount Available for Resident Consumption]]-SUMIFS(ConsumptionModel_1000P[Resource Demand],ConsumptionModel_1000P[Resource],ResourceAvailable_1000P[[#This Row],[Resource]]))</f>
        <v>0</v>
      </c>
    </row>
    <row r="40" spans="2:118" ht="21.4" thickBot="1" x14ac:dyDescent="0.7">
      <c r="B40" s="181">
        <f>ROW()</f>
        <v>40</v>
      </c>
      <c r="C40" s="182">
        <f>INDEX(ConsumptionModelInputs_1000P[Quantity],MATCH(ConsumptionModel_1000P[[#This Row],[Building]],ConsumptionModelInputs_1000P[Building],0))</f>
        <v>10</v>
      </c>
      <c r="D40" s="183" t="s">
        <v>57</v>
      </c>
      <c r="E40" s="183" t="s">
        <v>332</v>
      </c>
      <c r="F40" s="192" t="str">
        <f>IF(OR(ISBLANK(ConsumptionModel_1000P[[#This Row],[Building]]),ISBLANK(ConsumptionModel_1000P[[#This Row],[Resource]]))," - ",INDEX(Consumption[Type],MATCH(ConsumptionModel_1000P[[#This Row],[LookupValue]],Consumption[LookupValue],0)))</f>
        <v>Luxury</v>
      </c>
      <c r="G40" s="185" t="str">
        <f>IF(OR(ISBLANK(ConsumptionModel_1000P[[#This Row],[Building]]),ISBLANK(ConsumptionModel_1000P[[#This Row],[Resource]]))," - ",ConsumptionModel_1000P[[#This Row],[Building]]&amp;" - "&amp;ConsumptionModel_1000P[[#This Row],[Resource]])</f>
        <v>Townsmen's House - Education</v>
      </c>
      <c r="H40" s="186">
        <f>ConsumptionModel_1000P[[#This Row],[Quantity]]*INDEX(Consumption[Consumption/person/h],MATCH(ConsumptionModel_1000P[[#This Row],[LookupValue]],Consumption[LookupValue],0))*IFERROR(INDEX(ResidentBuildings[Residents],MATCH(ConsumptionModel_1000P[[#This Row],[Building]],ResidentBuildings[Building],0)),0)</f>
        <v>0</v>
      </c>
      <c r="I40" s="186">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3</v>
      </c>
      <c r="J40" s="193">
        <f>IF(ConsumptionModel_1000P[[#This Row],[Quantity]]=0,"",IF(AND(ConsumptionModel_1000P[[#This Row],[Resource Demand]]=0,ConsumptionModel_1000P[[#This Row],[Resource Available]]&gt;0),1,MIN(1,IFERROR(ConsumptionModel_1000P[[#This Row],[Resource Available]]/ConsumptionModel_1000P[[#This Row],[Resource Demand]],0))))</f>
        <v>1</v>
      </c>
      <c r="K40" s="188">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20</v>
      </c>
      <c r="O40" s="197" t="s">
        <v>660</v>
      </c>
      <c r="P40" s="71">
        <f>SUMIFS(ResourceAvailable_1000P[Amount Produced],ResourceAvailable_1000P[Resource],ResourceMonitor_1000P[[#This Row],[Resource]])</f>
        <v>187.5</v>
      </c>
      <c r="Q40" s="71">
        <f>SUMIFS(ResourceAvailable_1000P[Amount Consumed],ResourceAvailable_1000P[Resource],ResourceMonitor_1000P[[#This Row],[Resource]])</f>
        <v>0</v>
      </c>
      <c r="R40" s="71">
        <f>SUMIFS(ResourceAvailable_1000P[Amount Available for Resident Consumption],ResourceAvailable_1000P[Resource],ResourceMonitor_1000P[[#This Row],[Resource]])</f>
        <v>187.5</v>
      </c>
      <c r="S40" s="39">
        <f>MAX(0,ResourceMonitor_1000P[[#This Row],[Amount Available for Resident Consumption]]-SUMIFS(ConsumptionModel_1000P[Resource Demand],ConsumptionModel_1000P[Resource],ResourceMonitor_1000P[[#This Row],[Resource]]))</f>
        <v>3.8999999999999773</v>
      </c>
      <c r="T40" s="39">
        <f>MIN(0,ResourceMonitor_1000P[[#This Row],[Amount Available for Resident Consumption]]-SUMIFS(ConsumptionModel_1000P[Resource Demand],ConsumptionModel_1000P[Resource],ResourceMonitor_1000P[[#This Row],[Resource]]))</f>
        <v>0</v>
      </c>
      <c r="U40" s="122">
        <f>IFERROR(INDEX(#REF!,MATCH(ResourceMonitor_1000P[[#This Row],[Resource]],#REF!,0)),0)</f>
        <v>0</v>
      </c>
      <c r="V40" s="194">
        <f>IFERROR(ResourceMonitor_1000P[[#This Row],[Amount Produced]]/ResourceMonitor_1000P[[#This Row],[Production Target]],0)</f>
        <v>0</v>
      </c>
      <c r="W40" s="133"/>
      <c r="X40" s="47">
        <f>IF(ResourceMonitor_1000P[[#This Row],[Ignore shipping needs?]]="Yes",0,ROUNDUP(ResourceMonitor_1000P[[#This Row],[Production Target]]/INDEX(ShipRequirementCalculator[Cargo capacity/h (return, 50% empty)],MATCH($X$15,ShipRequirementCalculator[Ship],0)),0))</f>
        <v>0</v>
      </c>
      <c r="Y40" s="47">
        <f>IF(ResourceMonitor_1000P[[#This Row],[Ignore shipping needs?]]="Yes",0,ROUNDUP(ResourceMonitor_1000P[[#This Row],[Production Target]]/INDEX(ShipRequirementCalculator[Cargo capacity/h (return, 50% empty)],MATCH($Y$15,ShipRequirementCalculator[Ship],0)),0))</f>
        <v>0</v>
      </c>
      <c r="Z40" s="47">
        <f>IF(ResourceMonitor_1000P[[#This Row],[Ignore shipping needs?]]="Yes",0,ROUNDUP(ResourceMonitor_1000P[[#This Row],[Production Target]]/INDEX(ShipRequirementCalculator[Cargo capacity/h (return, 50% empty)],MATCH($Z$15,ShipRequirementCalculator[Ship],0)),0))</f>
        <v>0</v>
      </c>
      <c r="AA40" s="124"/>
      <c r="AC40" s="103" t="s">
        <v>108</v>
      </c>
      <c r="AD40" s="83">
        <f>ROW()</f>
        <v>40</v>
      </c>
      <c r="AE40" s="74">
        <v>4</v>
      </c>
      <c r="AF40" s="101" t="s">
        <v>104</v>
      </c>
      <c r="AG40" s="18"/>
      <c r="AH40" s="74">
        <v>4</v>
      </c>
      <c r="AI40" s="156">
        <f>IFERROR(IslandModel_1000P[[#This Row],[Quantity]]/IslandModel_1000P[[#This Row],[Target Quantity]],0)</f>
        <v>1</v>
      </c>
      <c r="AJ40" s="61" t="str">
        <f>IFERROR(INDEX(Production[Resource Produced],MATCH(IslandModel_1000P[[#This Row],[Building]],Production[Building],0)),"")</f>
        <v>Flour</v>
      </c>
      <c r="AK40" s="99">
        <f>IFERROR(IslandModel_1000P[[#This Row],[Quantity]]*INDEX(Production[Production in 1h],MATCH(IslandModel_1000P[[#This Row],[Building]],Production[Building],0))*IslandModel_1000P[[#This Row],[Input Consumption Multiplier]],0)</f>
        <v>120</v>
      </c>
      <c r="AL40" s="115">
        <f>100%</f>
        <v>1</v>
      </c>
      <c r="AM40"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40" s="77" t="str">
        <f>IFERROR(INDEX(Production[Input 1],MATCH(IslandModel_1000P[[#This Row],[Building]],Production[Building],0)),"")</f>
        <v>Land tile</v>
      </c>
      <c r="AO40" s="78"/>
      <c r="AP40"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4</v>
      </c>
      <c r="AQ40"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2577.5</v>
      </c>
      <c r="AR40"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4</v>
      </c>
      <c r="AS40" s="35" t="str">
        <f>IFERROR(INDEX(Production[Input 2],MATCH(IslandModel_1000P[[#This Row],[Building]],Production[Building],0)),"")</f>
        <v>Wheat</v>
      </c>
      <c r="AT40" s="78"/>
      <c r="AU40"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240</v>
      </c>
      <c r="AV40"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240</v>
      </c>
      <c r="AW40"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240</v>
      </c>
      <c r="AX40" s="35">
        <f>IFERROR(INDEX(Production[Input 3],MATCH(IslandModel_1000P[[#This Row],[Building]],Production[Building],0)),"")</f>
        <v>0</v>
      </c>
      <c r="AY40" s="78"/>
      <c r="AZ40"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40"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40"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40" s="35">
        <f>IFERROR(INDEX(Production[Input 4],MATCH(IslandModel_1000P[[#This Row],[Building]],Production[Building],0)),"")</f>
        <v>0</v>
      </c>
      <c r="BD40" s="78"/>
      <c r="BE40"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40"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40"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40" s="35">
        <f>IFERROR(INDEX(Production[Input 5],MATCH(IslandModel_1000P[[#This Row],[Building]],Production[Building],0)),"")</f>
        <v>0</v>
      </c>
      <c r="BI40" s="78"/>
      <c r="BJ40"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40"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40"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40" s="35">
        <f>IFERROR(INDEX(Production[Input 6],MATCH(IslandModel_1000P[[#This Row],[Building]],Production[Building],0)),"")</f>
        <v>0</v>
      </c>
      <c r="BN40" s="78"/>
      <c r="BO40"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40"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40"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40" s="35">
        <f>IFERROR(INDEX(Production[Input 7],MATCH(IslandModel_1000P[[#This Row],[Building]],Production[Building],0)),"")</f>
        <v>0</v>
      </c>
      <c r="BS40" s="78"/>
      <c r="BT40"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40"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40"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40" s="35">
        <f>IFERROR(INDEX(Production[Input 8],MATCH(IslandModel_1000P[[#This Row],[Building]],Production[Building],0)),"")</f>
        <v>0</v>
      </c>
      <c r="BX40" s="78"/>
      <c r="BY40"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40"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40"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40" s="35">
        <f>IFERROR(INDEX(Production[Input 9],MATCH(IslandModel_1000P[[#This Row],[Building]],Production[Building],0)),"")</f>
        <v>0</v>
      </c>
      <c r="CC40" s="78"/>
      <c r="CD40"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40"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40"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40" s="35">
        <f>IFERROR(INDEX(Production[Input 10],MATCH(IslandModel_1000P[[#This Row],[Building]],Production[Building],0)),"")</f>
        <v>0</v>
      </c>
      <c r="CH40" s="78"/>
      <c r="CI40"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40"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40"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40"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40" s="82" t="str">
        <f>IslandModel_1000P[[#This Row],[Resource Produced]]</f>
        <v>Flour</v>
      </c>
      <c r="CN40" s="42">
        <f>IslandModel_1000P[[#This Row],[Amount produced/h]]</f>
        <v>120</v>
      </c>
      <c r="CO40" s="42" t="str">
        <f>IslandModel_1000P[[#This Row],[Input 1]]</f>
        <v>Land tile</v>
      </c>
      <c r="CP40" s="42">
        <f>-IslandModel_1000P[[#This Row],[Input 1 Consumed]]</f>
        <v>-4</v>
      </c>
      <c r="CQ40" s="42" t="str">
        <f>IslandModel_1000P[[#This Row],[Input 2]]</f>
        <v>Wheat</v>
      </c>
      <c r="CR40" s="42">
        <f>-IslandModel_1000P[[#This Row],[Input 2 Consumed]]</f>
        <v>-240</v>
      </c>
      <c r="CS40" s="42">
        <f>IslandModel_1000P[[#This Row],[Input 3]]</f>
        <v>0</v>
      </c>
      <c r="CT40" s="42">
        <f>-IslandModel_1000P[[#This Row],[Input 3 Consumed]]</f>
        <v>0</v>
      </c>
      <c r="CU40" s="42">
        <f>IslandModel_1000P[[#This Row],[Input 4]]</f>
        <v>0</v>
      </c>
      <c r="CV40" s="42">
        <f>-IslandModel_1000P[[#This Row],[Input 4 Consumed]]</f>
        <v>0</v>
      </c>
      <c r="CW40" s="42">
        <f>IslandModel_1000P[[#This Row],[Input 5]]</f>
        <v>0</v>
      </c>
      <c r="CX40" s="42">
        <f>-IslandModel_1000P[[#This Row],[Input 5 Consumed]]</f>
        <v>0</v>
      </c>
      <c r="CY40" s="42">
        <f>IslandModel_1000P[[#This Row],[Input 6]]</f>
        <v>0</v>
      </c>
      <c r="CZ40" s="42">
        <f>-IslandModel_1000P[[#This Row],[Input 6 Consumed]]</f>
        <v>0</v>
      </c>
      <c r="DA40" s="42">
        <f>IslandModel_1000P[[#This Row],[Input 7]]</f>
        <v>0</v>
      </c>
      <c r="DB40" s="42">
        <f>-IslandModel_1000P[[#This Row],[Input 7 Consumed]]</f>
        <v>0</v>
      </c>
      <c r="DC40" s="42">
        <f>IslandModel_1000P[[#This Row],[Input 8]]</f>
        <v>0</v>
      </c>
      <c r="DD40" s="42">
        <f>-IslandModel_1000P[[#This Row],[Input 8 Consumed]]</f>
        <v>0</v>
      </c>
      <c r="DE40" s="42">
        <f>IslandModel_1000P[[#This Row],[Input 9]]</f>
        <v>0</v>
      </c>
      <c r="DF40" s="42">
        <f>-IslandModel_1000P[[#This Row],[Input 9 Consumed]]</f>
        <v>0</v>
      </c>
      <c r="DG40" s="42">
        <f>IslandModel_1000P[[#This Row],[Input 10]]</f>
        <v>0</v>
      </c>
      <c r="DH40" s="42">
        <f>-IslandModel_1000P[[#This Row],[Input 10 Consumed]]</f>
        <v>0</v>
      </c>
      <c r="DJ40" t="s">
        <v>137</v>
      </c>
      <c r="DK40" s="39">
        <f>SUM(SUMIFS(IslandModel_1000P[Resource 1 Qty],IslandModel_1000P[Resource 1],ResourceAvailable_1000P[[#This Row],[Resource]]))</f>
        <v>165</v>
      </c>
      <c r="DL40"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40" s="39">
        <f>ResourceAvailable_1000P[[#This Row],[Amount Produced]]-ResourceAvailable_1000P[[#This Row],[Amount Consumed]]</f>
        <v>165</v>
      </c>
      <c r="DN40" s="20">
        <f>MAX(0,ResourceAvailable_1000P[[#This Row],[Amount Available for Resident Consumption]]-SUMIFS(ConsumptionModel_1000P[Resource Demand],ConsumptionModel_1000P[Resource],ResourceAvailable_1000P[[#This Row],[Resource]]))</f>
        <v>6.5999999999999943</v>
      </c>
    </row>
    <row r="41" spans="2:118" ht="21" x14ac:dyDescent="0.65">
      <c r="B41" s="170">
        <f>ROW()</f>
        <v>41</v>
      </c>
      <c r="C41" s="171">
        <f>INDEX(ConsumptionModelInputs_1000P[Quantity],MATCH(ConsumptionModel_1000P[[#This Row],[Building]],ConsumptionModelInputs_1000P[Building],0))</f>
        <v>12</v>
      </c>
      <c r="D41" s="172" t="s">
        <v>58</v>
      </c>
      <c r="E41" s="172" t="s">
        <v>330</v>
      </c>
      <c r="F41" s="173" t="str">
        <f>IF(OR(ISBLANK(ConsumptionModel_1000P[[#This Row],[Building]]),ISBLANK(ConsumptionModel_1000P[[#This Row],[Resource]]))," - ",INDEX(Consumption[Type],MATCH(ConsumptionModel_1000P[[#This Row],[LookupValue]],Consumption[LookupValue],0)))</f>
        <v>Need</v>
      </c>
      <c r="G41" s="174" t="str">
        <f>IF(OR(ISBLANK(ConsumptionModel_1000P[[#This Row],[Building]]),ISBLANK(ConsumptionModel_1000P[[#This Row],[Resource]]))," - ",ConsumptionModel_1000P[[#This Row],[Building]]&amp;" - "&amp;ConsumptionModel_1000P[[#This Row],[Resource]])</f>
        <v>Merchant's Mansion - Water</v>
      </c>
      <c r="H41" s="175">
        <f>ConsumptionModel_1000P[[#This Row],[Quantity]]*INDEX(Consumption[Consumption/person/h],MATCH(ConsumptionModel_1000P[[#This Row],[LookupValue]],Consumption[LookupValue],0))*IFERROR(INDEX(ResidentBuildings[Residents],MATCH(ConsumptionModel_1000P[[#This Row],[Building]],ResidentBuildings[Building],0)),0)</f>
        <v>0</v>
      </c>
      <c r="I41" s="175">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4</v>
      </c>
      <c r="J41" s="176">
        <f>IF(ConsumptionModel_1000P[[#This Row],[Quantity]]=0,"",IF(AND(ConsumptionModel_1000P[[#This Row],[Resource Demand]]=0,ConsumptionModel_1000P[[#This Row],[Resource Available]]&gt;0),1,MIN(1,IFERROR(ConsumptionModel_1000P[[#This Row],[Resource Available]]/ConsumptionModel_1000P[[#This Row],[Resource Demand]],0))))</f>
        <v>1</v>
      </c>
      <c r="K41" s="177">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41" s="197" t="s">
        <v>379</v>
      </c>
      <c r="P41" s="71">
        <f>SUMIFS(ResourceAvailable_1000P[Amount Produced],ResourceAvailable_1000P[Resource],ResourceMonitor_1000P[[#This Row],[Resource]])</f>
        <v>405</v>
      </c>
      <c r="Q41" s="71">
        <f>SUMIFS(ResourceAvailable_1000P[Amount Consumed],ResourceAvailable_1000P[Resource],ResourceMonitor_1000P[[#This Row],[Resource]])</f>
        <v>0</v>
      </c>
      <c r="R41" s="71">
        <f>SUMIFS(ResourceAvailable_1000P[Amount Available for Resident Consumption],ResourceAvailable_1000P[Resource],ResourceMonitor_1000P[[#This Row],[Resource]])</f>
        <v>405</v>
      </c>
      <c r="S41" s="39">
        <f>MAX(0,ResourceMonitor_1000P[[#This Row],[Amount Available for Resident Consumption]]-SUMIFS(ConsumptionModel_1000P[Resource Demand],ConsumptionModel_1000P[Resource],ResourceMonitor_1000P[[#This Row],[Resource]]))</f>
        <v>37.799999999999955</v>
      </c>
      <c r="T41" s="39">
        <f>MIN(0,ResourceMonitor_1000P[[#This Row],[Amount Available for Resident Consumption]]-SUMIFS(ConsumptionModel_1000P[Resource Demand],ConsumptionModel_1000P[Resource],ResourceMonitor_1000P[[#This Row],[Resource]]))</f>
        <v>0</v>
      </c>
      <c r="U41" s="122">
        <f>IFERROR(INDEX(#REF!,MATCH(ResourceMonitor_1000P[[#This Row],[Resource]],#REF!,0)),0)</f>
        <v>0</v>
      </c>
      <c r="V41" s="194">
        <f>IFERROR(ResourceMonitor_1000P[[#This Row],[Amount Produced]]/ResourceMonitor_1000P[[#This Row],[Production Target]],0)</f>
        <v>0</v>
      </c>
      <c r="W41" s="133"/>
      <c r="X41" s="47">
        <f>IF(ResourceMonitor_1000P[[#This Row],[Ignore shipping needs?]]="Yes",0,ROUNDUP(ResourceMonitor_1000P[[#This Row],[Production Target]]/INDEX(ShipRequirementCalculator[Cargo capacity/h (return, 50% empty)],MATCH($X$15,ShipRequirementCalculator[Ship],0)),0))</f>
        <v>0</v>
      </c>
      <c r="Y41" s="47">
        <f>IF(ResourceMonitor_1000P[[#This Row],[Ignore shipping needs?]]="Yes",0,ROUNDUP(ResourceMonitor_1000P[[#This Row],[Production Target]]/INDEX(ShipRequirementCalculator[Cargo capacity/h (return, 50% empty)],MATCH($Y$15,ShipRequirementCalculator[Ship],0)),0))</f>
        <v>0</v>
      </c>
      <c r="Z41" s="47">
        <f>IF(ResourceMonitor_1000P[[#This Row],[Ignore shipping needs?]]="Yes",0,ROUNDUP(ResourceMonitor_1000P[[#This Row],[Production Target]]/INDEX(ShipRequirementCalculator[Cargo capacity/h (return, 50% empty)],MATCH($Z$15,ShipRequirementCalculator[Ship],0)),0))</f>
        <v>0</v>
      </c>
      <c r="AA41" s="124"/>
      <c r="AC41" s="103" t="s">
        <v>108</v>
      </c>
      <c r="AD41" s="83">
        <f>ROW()</f>
        <v>41</v>
      </c>
      <c r="AE41" s="74">
        <v>8</v>
      </c>
      <c r="AF41" s="101" t="s">
        <v>107</v>
      </c>
      <c r="AG41" s="18"/>
      <c r="AH41" s="74">
        <v>8</v>
      </c>
      <c r="AI41" s="156">
        <f>IFERROR(IslandModel_1000P[[#This Row],[Quantity]]/IslandModel_1000P[[#This Row],[Target Quantity]],0)</f>
        <v>1</v>
      </c>
      <c r="AJ41" s="61" t="str">
        <f>IFERROR(INDEX(Production[Resource Produced],MATCH(IslandModel_1000P[[#This Row],[Building]],Production[Building],0)),"")</f>
        <v>Bread</v>
      </c>
      <c r="AK41" s="99">
        <f>IFERROR(IslandModel_1000P[[#This Row],[Quantity]]*INDEX(Production[Production in 1h],MATCH(IslandModel_1000P[[#This Row],[Building]],Production[Building],0))*IslandModel_1000P[[#This Row],[Input Consumption Multiplier]],0)</f>
        <v>120</v>
      </c>
      <c r="AL41" s="115">
        <f>100%</f>
        <v>1</v>
      </c>
      <c r="AM41"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41" s="77" t="str">
        <f>IFERROR(INDEX(Production[Input 1],MATCH(IslandModel_1000P[[#This Row],[Building]],Production[Building],0)),"")</f>
        <v>Land tile</v>
      </c>
      <c r="AO41" s="78"/>
      <c r="AP41"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8</v>
      </c>
      <c r="AQ41"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2573.5</v>
      </c>
      <c r="AR41"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8</v>
      </c>
      <c r="AS41" s="35" t="str">
        <f>IFERROR(INDEX(Production[Input 2],MATCH(IslandModel_1000P[[#This Row],[Building]],Production[Building],0)),"")</f>
        <v>Flour</v>
      </c>
      <c r="AT41" s="78"/>
      <c r="AU41"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120</v>
      </c>
      <c r="AV41"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120</v>
      </c>
      <c r="AW41"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120</v>
      </c>
      <c r="AX41" s="35">
        <f>IFERROR(INDEX(Production[Input 3],MATCH(IslandModel_1000P[[#This Row],[Building]],Production[Building],0)),"")</f>
        <v>0</v>
      </c>
      <c r="AY41" s="78"/>
      <c r="AZ41"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41"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41"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41" s="35">
        <f>IFERROR(INDEX(Production[Input 4],MATCH(IslandModel_1000P[[#This Row],[Building]],Production[Building],0)),"")</f>
        <v>0</v>
      </c>
      <c r="BD41" s="78"/>
      <c r="BE41"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41"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41"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41" s="35">
        <f>IFERROR(INDEX(Production[Input 5],MATCH(IslandModel_1000P[[#This Row],[Building]],Production[Building],0)),"")</f>
        <v>0</v>
      </c>
      <c r="BI41" s="78"/>
      <c r="BJ41"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41"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41"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41" s="35">
        <f>IFERROR(INDEX(Production[Input 6],MATCH(IslandModel_1000P[[#This Row],[Building]],Production[Building],0)),"")</f>
        <v>0</v>
      </c>
      <c r="BN41" s="78"/>
      <c r="BO41"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41"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41"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41" s="35">
        <f>IFERROR(INDEX(Production[Input 7],MATCH(IslandModel_1000P[[#This Row],[Building]],Production[Building],0)),"")</f>
        <v>0</v>
      </c>
      <c r="BS41" s="78"/>
      <c r="BT41"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41"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41"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41" s="35">
        <f>IFERROR(INDEX(Production[Input 8],MATCH(IslandModel_1000P[[#This Row],[Building]],Production[Building],0)),"")</f>
        <v>0</v>
      </c>
      <c r="BX41" s="78"/>
      <c r="BY41"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41"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41"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41" s="35">
        <f>IFERROR(INDEX(Production[Input 9],MATCH(IslandModel_1000P[[#This Row],[Building]],Production[Building],0)),"")</f>
        <v>0</v>
      </c>
      <c r="CC41" s="78"/>
      <c r="CD41"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41"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41"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41" s="35">
        <f>IFERROR(INDEX(Production[Input 10],MATCH(IslandModel_1000P[[#This Row],[Building]],Production[Building],0)),"")</f>
        <v>0</v>
      </c>
      <c r="CH41" s="78"/>
      <c r="CI41"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41"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41"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41"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41" s="82" t="str">
        <f>IslandModel_1000P[[#This Row],[Resource Produced]]</f>
        <v>Bread</v>
      </c>
      <c r="CN41" s="42">
        <f>IslandModel_1000P[[#This Row],[Amount produced/h]]</f>
        <v>120</v>
      </c>
      <c r="CO41" s="42" t="str">
        <f>IslandModel_1000P[[#This Row],[Input 1]]</f>
        <v>Land tile</v>
      </c>
      <c r="CP41" s="42">
        <f>-IslandModel_1000P[[#This Row],[Input 1 Consumed]]</f>
        <v>-8</v>
      </c>
      <c r="CQ41" s="42" t="str">
        <f>IslandModel_1000P[[#This Row],[Input 2]]</f>
        <v>Flour</v>
      </c>
      <c r="CR41" s="42">
        <f>-IslandModel_1000P[[#This Row],[Input 2 Consumed]]</f>
        <v>-120</v>
      </c>
      <c r="CS41" s="42">
        <f>IslandModel_1000P[[#This Row],[Input 3]]</f>
        <v>0</v>
      </c>
      <c r="CT41" s="42">
        <f>-IslandModel_1000P[[#This Row],[Input 3 Consumed]]</f>
        <v>0</v>
      </c>
      <c r="CU41" s="42">
        <f>IslandModel_1000P[[#This Row],[Input 4]]</f>
        <v>0</v>
      </c>
      <c r="CV41" s="42">
        <f>-IslandModel_1000P[[#This Row],[Input 4 Consumed]]</f>
        <v>0</v>
      </c>
      <c r="CW41" s="42">
        <f>IslandModel_1000P[[#This Row],[Input 5]]</f>
        <v>0</v>
      </c>
      <c r="CX41" s="42">
        <f>-IslandModel_1000P[[#This Row],[Input 5 Consumed]]</f>
        <v>0</v>
      </c>
      <c r="CY41" s="42">
        <f>IslandModel_1000P[[#This Row],[Input 6]]</f>
        <v>0</v>
      </c>
      <c r="CZ41" s="42">
        <f>-IslandModel_1000P[[#This Row],[Input 6 Consumed]]</f>
        <v>0</v>
      </c>
      <c r="DA41" s="42">
        <f>IslandModel_1000P[[#This Row],[Input 7]]</f>
        <v>0</v>
      </c>
      <c r="DB41" s="42">
        <f>-IslandModel_1000P[[#This Row],[Input 7 Consumed]]</f>
        <v>0</v>
      </c>
      <c r="DC41" s="42">
        <f>IslandModel_1000P[[#This Row],[Input 8]]</f>
        <v>0</v>
      </c>
      <c r="DD41" s="42">
        <f>-IslandModel_1000P[[#This Row],[Input 8 Consumed]]</f>
        <v>0</v>
      </c>
      <c r="DE41" s="42">
        <f>IslandModel_1000P[[#This Row],[Input 9]]</f>
        <v>0</v>
      </c>
      <c r="DF41" s="42">
        <f>-IslandModel_1000P[[#This Row],[Input 9 Consumed]]</f>
        <v>0</v>
      </c>
      <c r="DG41" s="42">
        <f>IslandModel_1000P[[#This Row],[Input 10]]</f>
        <v>0</v>
      </c>
      <c r="DH41" s="42">
        <f>-IslandModel_1000P[[#This Row],[Input 10 Consumed]]</f>
        <v>0</v>
      </c>
      <c r="DJ41" t="s">
        <v>120</v>
      </c>
      <c r="DK41" s="39">
        <f>SUM(SUMIFS(IslandModel_1000P[Resource 1 Qty],IslandModel_1000P[Resource 1],ResourceAvailable_1000P[[#This Row],[Resource]]))</f>
        <v>240</v>
      </c>
      <c r="DL41"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172.5</v>
      </c>
      <c r="DM41" s="39">
        <f>ResourceAvailable_1000P[[#This Row],[Amount Produced]]-ResourceAvailable_1000P[[#This Row],[Amount Consumed]]</f>
        <v>67.5</v>
      </c>
      <c r="DN41" s="20">
        <f>MAX(0,ResourceAvailable_1000P[[#This Row],[Amount Available for Resident Consumption]]-SUMIFS(ConsumptionModel_1000P[Resource Demand],ConsumptionModel_1000P[Resource],ResourceAvailable_1000P[[#This Row],[Resource]]))</f>
        <v>67.5</v>
      </c>
    </row>
    <row r="42" spans="2:118" ht="21" x14ac:dyDescent="0.65">
      <c r="B42" s="178">
        <f>ROW()</f>
        <v>42</v>
      </c>
      <c r="C42" s="70">
        <f>INDEX(ConsumptionModelInputs_1000P[Quantity],MATCH(ConsumptionModel_1000P[[#This Row],[Building]],ConsumptionModelInputs_1000P[Building],0))</f>
        <v>12</v>
      </c>
      <c r="D42" s="179" t="s">
        <v>58</v>
      </c>
      <c r="E42" s="179" t="s">
        <v>331</v>
      </c>
      <c r="F42" s="64" t="str">
        <f>IF(OR(ISBLANK(ConsumptionModel_1000P[[#This Row],[Building]]),ISBLANK(ConsumptionModel_1000P[[#This Row],[Resource]]))," - ",INDEX(Consumption[Type],MATCH(ConsumptionModel_1000P[[#This Row],[LookupValue]],Consumption[LookupValue],0)))</f>
        <v>Need</v>
      </c>
      <c r="G42" s="61" t="str">
        <f>IF(OR(ISBLANK(ConsumptionModel_1000P[[#This Row],[Building]]),ISBLANK(ConsumptionModel_1000P[[#This Row],[Resource]]))," - ",ConsumptionModel_1000P[[#This Row],[Building]]&amp;" - "&amp;ConsumptionModel_1000P[[#This Row],[Resource]])</f>
        <v>Merchant's Mansion - Community</v>
      </c>
      <c r="H42" s="62">
        <f>ConsumptionModel_1000P[[#This Row],[Quantity]]*INDEX(Consumption[Consumption/person/h],MATCH(ConsumptionModel_1000P[[#This Row],[LookupValue]],Consumption[LookupValue],0))*IFERROR(INDEX(ResidentBuildings[Residents],MATCH(ConsumptionModel_1000P[[#This Row],[Building]],ResidentBuildings[Building],0)),0)</f>
        <v>0</v>
      </c>
      <c r="I42"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2</v>
      </c>
      <c r="J42" s="65">
        <f>IF(ConsumptionModel_1000P[[#This Row],[Quantity]]=0,"",IF(AND(ConsumptionModel_1000P[[#This Row],[Resource Demand]]=0,ConsumptionModel_1000P[[#This Row],[Resource Available]]&gt;0),1,MIN(1,IFERROR(ConsumptionModel_1000P[[#This Row],[Resource Available]]/ConsumptionModel_1000P[[#This Row],[Resource Demand]],0))))</f>
        <v>1</v>
      </c>
      <c r="K42"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42" s="197" t="s">
        <v>382</v>
      </c>
      <c r="P42" s="71">
        <f>SUMIFS(ResourceAvailable_1000P[Amount Produced],ResourceAvailable_1000P[Resource],ResourceMonitor_1000P[[#This Row],[Resource]])</f>
        <v>303.75</v>
      </c>
      <c r="Q42" s="71">
        <f>SUMIFS(ResourceAvailable_1000P[Amount Consumed],ResourceAvailable_1000P[Resource],ResourceMonitor_1000P[[#This Row],[Resource]])</f>
        <v>0</v>
      </c>
      <c r="R42" s="71">
        <f>SUMIFS(ResourceAvailable_1000P[Amount Available for Resident Consumption],ResourceAvailable_1000P[Resource],ResourceMonitor_1000P[[#This Row],[Resource]])</f>
        <v>303.75</v>
      </c>
      <c r="S42" s="39">
        <f>MAX(0,ResourceMonitor_1000P[[#This Row],[Amount Available for Resident Consumption]]-SUMIFS(ConsumptionModel_1000P[Resource Demand],ConsumptionModel_1000P[Resource],ResourceMonitor_1000P[[#This Row],[Resource]]))</f>
        <v>31.75</v>
      </c>
      <c r="T42" s="39">
        <f>MIN(0,ResourceMonitor_1000P[[#This Row],[Amount Available for Resident Consumption]]-SUMIFS(ConsumptionModel_1000P[Resource Demand],ConsumptionModel_1000P[Resource],ResourceMonitor_1000P[[#This Row],[Resource]]))</f>
        <v>0</v>
      </c>
      <c r="U42" s="122">
        <f>IFERROR(INDEX(#REF!,MATCH(ResourceMonitor_1000P[[#This Row],[Resource]],#REF!,0)),0)</f>
        <v>0</v>
      </c>
      <c r="V42" s="194">
        <f>IFERROR(ResourceMonitor_1000P[[#This Row],[Amount Produced]]/ResourceMonitor_1000P[[#This Row],[Production Target]],0)</f>
        <v>0</v>
      </c>
      <c r="W42" s="133"/>
      <c r="X42" s="47">
        <f>IF(ResourceMonitor_1000P[[#This Row],[Ignore shipping needs?]]="Yes",0,ROUNDUP(ResourceMonitor_1000P[[#This Row],[Production Target]]/INDEX(ShipRequirementCalculator[Cargo capacity/h (return, 50% empty)],MATCH($X$15,ShipRequirementCalculator[Ship],0)),0))</f>
        <v>0</v>
      </c>
      <c r="Y42" s="47">
        <f>IF(ResourceMonitor_1000P[[#This Row],[Ignore shipping needs?]]="Yes",0,ROUNDUP(ResourceMonitor_1000P[[#This Row],[Production Target]]/INDEX(ShipRequirementCalculator[Cargo capacity/h (return, 50% empty)],MATCH($Y$15,ShipRequirementCalculator[Ship],0)),0))</f>
        <v>0</v>
      </c>
      <c r="Z42" s="47">
        <f>IF(ResourceMonitor_1000P[[#This Row],[Ignore shipping needs?]]="Yes",0,ROUNDUP(ResourceMonitor_1000P[[#This Row],[Production Target]]/INDEX(ShipRequirementCalculator[Cargo capacity/h (return, 50% empty)],MATCH($Z$15,ShipRequirementCalculator[Ship],0)),0))</f>
        <v>0</v>
      </c>
      <c r="AA42" s="124"/>
      <c r="AC42" s="103" t="s">
        <v>116</v>
      </c>
      <c r="AD42" s="83">
        <f>ROW()</f>
        <v>42</v>
      </c>
      <c r="AE42" s="74">
        <f>AE43*8</f>
        <v>128</v>
      </c>
      <c r="AF42" s="72" t="s">
        <v>112</v>
      </c>
      <c r="AG42" s="18"/>
      <c r="AH42" s="74">
        <f>AH43*8</f>
        <v>128</v>
      </c>
      <c r="AI42" s="156">
        <f>IFERROR(IslandModel_1000P[[#This Row],[Quantity]]/IslandModel_1000P[[#This Row],[Target Quantity]],0)</f>
        <v>1</v>
      </c>
      <c r="AJ42" s="61" t="str">
        <f>IFERROR(INDEX(Production[Resource Produced],MATCH(IslandModel_1000P[[#This Row],[Building]],Production[Building],0)),"")</f>
        <v>Tobacco Field</v>
      </c>
      <c r="AK42" s="99">
        <f>IFERROR(IslandModel_1000P[[#This Row],[Quantity]]*INDEX(Production[Production in 1h],MATCH(IslandModel_1000P[[#This Row],[Building]],Production[Building],0))*IslandModel_1000P[[#This Row],[Input Consumption Multiplier]],0)</f>
        <v>128</v>
      </c>
      <c r="AL42" s="115">
        <f>100%</f>
        <v>1</v>
      </c>
      <c r="AM42"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42" s="77" t="str">
        <f>IFERROR(INDEX(Production[Input 1],MATCH(IslandModel_1000P[[#This Row],[Building]],Production[Building],0)),"")</f>
        <v>Land tile</v>
      </c>
      <c r="AO42" s="78"/>
      <c r="AP42"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128</v>
      </c>
      <c r="AQ42"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2565.5</v>
      </c>
      <c r="AR42"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128</v>
      </c>
      <c r="AS42" s="35">
        <f>IFERROR(INDEX(Production[Input 2],MATCH(IslandModel_1000P[[#This Row],[Building]],Production[Building],0)),"")</f>
        <v>0</v>
      </c>
      <c r="AT42" s="78"/>
      <c r="AU42"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42"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42"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42" s="35">
        <f>IFERROR(INDEX(Production[Input 3],MATCH(IslandModel_1000P[[#This Row],[Building]],Production[Building],0)),"")</f>
        <v>0</v>
      </c>
      <c r="AY42" s="78"/>
      <c r="AZ42"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42"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42"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42" s="35">
        <f>IFERROR(INDEX(Production[Input 4],MATCH(IslandModel_1000P[[#This Row],[Building]],Production[Building],0)),"")</f>
        <v>0</v>
      </c>
      <c r="BD42" s="78"/>
      <c r="BE42"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42"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42"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42" s="35">
        <f>IFERROR(INDEX(Production[Input 5],MATCH(IslandModel_1000P[[#This Row],[Building]],Production[Building],0)),"")</f>
        <v>0</v>
      </c>
      <c r="BI42" s="78"/>
      <c r="BJ42"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42"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42"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42" s="35">
        <f>IFERROR(INDEX(Production[Input 6],MATCH(IslandModel_1000P[[#This Row],[Building]],Production[Building],0)),"")</f>
        <v>0</v>
      </c>
      <c r="BN42" s="78"/>
      <c r="BO42"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42"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42"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42" s="35">
        <f>IFERROR(INDEX(Production[Input 7],MATCH(IslandModel_1000P[[#This Row],[Building]],Production[Building],0)),"")</f>
        <v>0</v>
      </c>
      <c r="BS42" s="78"/>
      <c r="BT42"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42"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42"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42" s="35">
        <f>IFERROR(INDEX(Production[Input 8],MATCH(IslandModel_1000P[[#This Row],[Building]],Production[Building],0)),"")</f>
        <v>0</v>
      </c>
      <c r="BX42" s="78"/>
      <c r="BY42"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42"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42"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42" s="35">
        <f>IFERROR(INDEX(Production[Input 9],MATCH(IslandModel_1000P[[#This Row],[Building]],Production[Building],0)),"")</f>
        <v>0</v>
      </c>
      <c r="CC42" s="78"/>
      <c r="CD42"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42"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42"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42" s="35">
        <f>IFERROR(INDEX(Production[Input 10],MATCH(IslandModel_1000P[[#This Row],[Building]],Production[Building],0)),"")</f>
        <v>0</v>
      </c>
      <c r="CH42" s="78"/>
      <c r="CI42"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42"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42"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42"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42" s="82" t="str">
        <f>IslandModel_1000P[[#This Row],[Resource Produced]]</f>
        <v>Tobacco Field</v>
      </c>
      <c r="CN42" s="42">
        <f>IslandModel_1000P[[#This Row],[Amount produced/h]]</f>
        <v>128</v>
      </c>
      <c r="CO42" s="42" t="str">
        <f>IslandModel_1000P[[#This Row],[Input 1]]</f>
        <v>Land tile</v>
      </c>
      <c r="CP42" s="42">
        <f>-IslandModel_1000P[[#This Row],[Input 1 Consumed]]</f>
        <v>-128</v>
      </c>
      <c r="CQ42" s="42">
        <f>IslandModel_1000P[[#This Row],[Input 2]]</f>
        <v>0</v>
      </c>
      <c r="CR42" s="42">
        <f>-IslandModel_1000P[[#This Row],[Input 2 Consumed]]</f>
        <v>0</v>
      </c>
      <c r="CS42" s="42">
        <f>IslandModel_1000P[[#This Row],[Input 3]]</f>
        <v>0</v>
      </c>
      <c r="CT42" s="42">
        <f>-IslandModel_1000P[[#This Row],[Input 3 Consumed]]</f>
        <v>0</v>
      </c>
      <c r="CU42" s="42">
        <f>IslandModel_1000P[[#This Row],[Input 4]]</f>
        <v>0</v>
      </c>
      <c r="CV42" s="42">
        <f>-IslandModel_1000P[[#This Row],[Input 4 Consumed]]</f>
        <v>0</v>
      </c>
      <c r="CW42" s="42">
        <f>IslandModel_1000P[[#This Row],[Input 5]]</f>
        <v>0</v>
      </c>
      <c r="CX42" s="42">
        <f>-IslandModel_1000P[[#This Row],[Input 5 Consumed]]</f>
        <v>0</v>
      </c>
      <c r="CY42" s="42">
        <f>IslandModel_1000P[[#This Row],[Input 6]]</f>
        <v>0</v>
      </c>
      <c r="CZ42" s="42">
        <f>-IslandModel_1000P[[#This Row],[Input 6 Consumed]]</f>
        <v>0</v>
      </c>
      <c r="DA42" s="42">
        <f>IslandModel_1000P[[#This Row],[Input 7]]</f>
        <v>0</v>
      </c>
      <c r="DB42" s="42">
        <f>-IslandModel_1000P[[#This Row],[Input 7 Consumed]]</f>
        <v>0</v>
      </c>
      <c r="DC42" s="42">
        <f>IslandModel_1000P[[#This Row],[Input 8]]</f>
        <v>0</v>
      </c>
      <c r="DD42" s="42">
        <f>-IslandModel_1000P[[#This Row],[Input 8 Consumed]]</f>
        <v>0</v>
      </c>
      <c r="DE42" s="42">
        <f>IslandModel_1000P[[#This Row],[Input 9]]</f>
        <v>0</v>
      </c>
      <c r="DF42" s="42">
        <f>-IslandModel_1000P[[#This Row],[Input 9 Consumed]]</f>
        <v>0</v>
      </c>
      <c r="DG42" s="42">
        <f>IslandModel_1000P[[#This Row],[Input 10]]</f>
        <v>0</v>
      </c>
      <c r="DH42" s="42">
        <f>-IslandModel_1000P[[#This Row],[Input 10 Consumed]]</f>
        <v>0</v>
      </c>
      <c r="DJ42" s="55" t="s">
        <v>77</v>
      </c>
      <c r="DK42" s="39">
        <f>SUM(SUMIFS(IslandModel_1000P[Resource 1 Qty],IslandModel_1000P[Resource 1],ResourceAvailable_1000P[[#This Row],[Resource]]))</f>
        <v>0</v>
      </c>
      <c r="DL42"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42" s="39">
        <f>ResourceAvailable_1000P[[#This Row],[Amount Produced]]-ResourceAvailable_1000P[[#This Row],[Amount Consumed]]</f>
        <v>0</v>
      </c>
      <c r="DN42" s="20">
        <f>MAX(0,ResourceAvailable_1000P[[#This Row],[Amount Available for Resident Consumption]]-SUMIFS(ConsumptionModel_1000P[Resource Demand],ConsumptionModel_1000P[Resource],ResourceAvailable_1000P[[#This Row],[Resource]]))</f>
        <v>0</v>
      </c>
    </row>
    <row r="43" spans="2:118" ht="21" x14ac:dyDescent="0.65">
      <c r="B43" s="178">
        <f>ROW()</f>
        <v>43</v>
      </c>
      <c r="C43" s="70">
        <f>INDEX(ConsumptionModelInputs_1000P[Quantity],MATCH(ConsumptionModel_1000P[[#This Row],[Building]],ConsumptionModelInputs_1000P[Building],0))</f>
        <v>12</v>
      </c>
      <c r="D43" s="179" t="s">
        <v>58</v>
      </c>
      <c r="E43" s="179" t="s">
        <v>332</v>
      </c>
      <c r="F43" s="64" t="str">
        <f>IF(OR(ISBLANK(ConsumptionModel_1000P[[#This Row],[Building]]),ISBLANK(ConsumptionModel_1000P[[#This Row],[Resource]]))," - ",INDEX(Consumption[Type],MATCH(ConsumptionModel_1000P[[#This Row],[LookupValue]],Consumption[LookupValue],0)))</f>
        <v>Need</v>
      </c>
      <c r="G43" s="61" t="str">
        <f>IF(OR(ISBLANK(ConsumptionModel_1000P[[#This Row],[Building]]),ISBLANK(ConsumptionModel_1000P[[#This Row],[Resource]]))," - ",ConsumptionModel_1000P[[#This Row],[Building]]&amp;" - "&amp;ConsumptionModel_1000P[[#This Row],[Resource]])</f>
        <v>Merchant's Mansion - Education</v>
      </c>
      <c r="H43" s="62">
        <f>ConsumptionModel_1000P[[#This Row],[Quantity]]*INDEX(Consumption[Consumption/person/h],MATCH(ConsumptionModel_1000P[[#This Row],[LookupValue]],Consumption[LookupValue],0))*IFERROR(INDEX(ResidentBuildings[Residents],MATCH(ConsumptionModel_1000P[[#This Row],[Building]],ResidentBuildings[Building],0)),0)</f>
        <v>0</v>
      </c>
      <c r="I43"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3</v>
      </c>
      <c r="J43" s="65">
        <f>IF(ConsumptionModel_1000P[[#This Row],[Quantity]]=0,"",IF(AND(ConsumptionModel_1000P[[#This Row],[Resource Demand]]=0,ConsumptionModel_1000P[[#This Row],[Resource Available]]&gt;0),1,MIN(1,IFERROR(ConsumptionModel_1000P[[#This Row],[Resource Available]]/ConsumptionModel_1000P[[#This Row],[Resource Demand]],0))))</f>
        <v>1</v>
      </c>
      <c r="K43"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43" s="197" t="s">
        <v>465</v>
      </c>
      <c r="P43" s="71">
        <f>SUMIFS(ResourceAvailable_1000P[Amount Produced],ResourceAvailable_1000P[Resource],ResourceMonitor_1000P[[#This Row],[Resource]])</f>
        <v>1</v>
      </c>
      <c r="Q43" s="71">
        <f>SUMIFS(ResourceAvailable_1000P[Amount Consumed],ResourceAvailable_1000P[Resource],ResourceMonitor_1000P[[#This Row],[Resource]])</f>
        <v>0</v>
      </c>
      <c r="R43" s="71">
        <f>SUMIFS(ResourceAvailable_1000P[Amount Available for Resident Consumption],ResourceAvailable_1000P[Resource],ResourceMonitor_1000P[[#This Row],[Resource]])</f>
        <v>1</v>
      </c>
      <c r="S43" s="39">
        <f>MAX(0,ResourceMonitor_1000P[[#This Row],[Amount Available for Resident Consumption]]-SUMIFS(ConsumptionModel_1000P[Resource Demand],ConsumptionModel_1000P[Resource],ResourceMonitor_1000P[[#This Row],[Resource]]))</f>
        <v>1</v>
      </c>
      <c r="T43" s="39">
        <f>MIN(0,ResourceMonitor_1000P[[#This Row],[Amount Available for Resident Consumption]]-SUMIFS(ConsumptionModel_1000P[Resource Demand],ConsumptionModel_1000P[Resource],ResourceMonitor_1000P[[#This Row],[Resource]]))</f>
        <v>0</v>
      </c>
      <c r="U43" s="122">
        <f>IFERROR(INDEX(#REF!,MATCH(ResourceMonitor_1000P[[#This Row],[Resource]],#REF!,0)),0)</f>
        <v>0</v>
      </c>
      <c r="V43" s="194">
        <f>IFERROR(ResourceMonitor_1000P[[#This Row],[Amount Produced]]/ResourceMonitor_1000P[[#This Row],[Production Target]],0)</f>
        <v>0</v>
      </c>
      <c r="W43" s="133" t="s">
        <v>242</v>
      </c>
      <c r="X43" s="47">
        <f>IF(ResourceMonitor_1000P[[#This Row],[Ignore shipping needs?]]="Yes",0,ROUNDUP(ResourceMonitor_1000P[[#This Row],[Production Target]]/INDEX(ShipRequirementCalculator[Cargo capacity/h (return, 50% empty)],MATCH($X$15,ShipRequirementCalculator[Ship],0)),0))</f>
        <v>0</v>
      </c>
      <c r="Y43" s="47">
        <f>IF(ResourceMonitor_1000P[[#This Row],[Ignore shipping needs?]]="Yes",0,ROUNDUP(ResourceMonitor_1000P[[#This Row],[Production Target]]/INDEX(ShipRequirementCalculator[Cargo capacity/h (return, 50% empty)],MATCH($Y$15,ShipRequirementCalculator[Ship],0)),0))</f>
        <v>0</v>
      </c>
      <c r="Z43" s="47">
        <f>IF(ResourceMonitor_1000P[[#This Row],[Ignore shipping needs?]]="Yes",0,ROUNDUP(ResourceMonitor_1000P[[#This Row],[Production Target]]/INDEX(ShipRequirementCalculator[Cargo capacity/h (return, 50% empty)],MATCH($Z$15,ShipRequirementCalculator[Ship],0)),0))</f>
        <v>0</v>
      </c>
      <c r="AA43" s="124"/>
      <c r="AC43" s="103" t="s">
        <v>116</v>
      </c>
      <c r="AD43" s="83">
        <f>ROW()</f>
        <v>43</v>
      </c>
      <c r="AE43" s="74">
        <v>16</v>
      </c>
      <c r="AF43" s="72" t="s">
        <v>114</v>
      </c>
      <c r="AG43" s="18"/>
      <c r="AH43" s="74">
        <v>16</v>
      </c>
      <c r="AI43" s="156">
        <f>IFERROR(IslandModel_1000P[[#This Row],[Quantity]]/IslandModel_1000P[[#This Row],[Target Quantity]],0)</f>
        <v>1</v>
      </c>
      <c r="AJ43" s="61" t="str">
        <f>IFERROR(INDEX(Production[Resource Produced],MATCH(IslandModel_1000P[[#This Row],[Building]],Production[Building],0)),"")</f>
        <v>Tobacco</v>
      </c>
      <c r="AK43" s="99">
        <f>IFERROR(IslandModel_1000P[[#This Row],[Quantity]]*INDEX(Production[Production in 1h],MATCH(IslandModel_1000P[[#This Row],[Building]],Production[Building],0))*IslandModel_1000P[[#This Row],[Input Consumption Multiplier]],0)</f>
        <v>480</v>
      </c>
      <c r="AL43" s="115">
        <f>100%</f>
        <v>1</v>
      </c>
      <c r="AM43"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43" s="77" t="str">
        <f>IFERROR(INDEX(Production[Input 1],MATCH(IslandModel_1000P[[#This Row],[Building]],Production[Building],0)),"")</f>
        <v>Land tile</v>
      </c>
      <c r="AO43" s="78"/>
      <c r="AP43"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16</v>
      </c>
      <c r="AQ43"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2437.5</v>
      </c>
      <c r="AR43"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16</v>
      </c>
      <c r="AS43" s="35" t="str">
        <f>IFERROR(INDEX(Production[Input 2],MATCH(IslandModel_1000P[[#This Row],[Building]],Production[Building],0)),"")</f>
        <v>Tobacco Field</v>
      </c>
      <c r="AT43" s="78"/>
      <c r="AU43"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128</v>
      </c>
      <c r="AV43"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128</v>
      </c>
      <c r="AW43"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128</v>
      </c>
      <c r="AX43" s="35">
        <f>IFERROR(INDEX(Production[Input 3],MATCH(IslandModel_1000P[[#This Row],[Building]],Production[Building],0)),"")</f>
        <v>0</v>
      </c>
      <c r="AY43" s="78"/>
      <c r="AZ43"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43"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43"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43" s="35">
        <f>IFERROR(INDEX(Production[Input 4],MATCH(IslandModel_1000P[[#This Row],[Building]],Production[Building],0)),"")</f>
        <v>0</v>
      </c>
      <c r="BD43" s="78"/>
      <c r="BE43"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43"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43"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43" s="35">
        <f>IFERROR(INDEX(Production[Input 5],MATCH(IslandModel_1000P[[#This Row],[Building]],Production[Building],0)),"")</f>
        <v>0</v>
      </c>
      <c r="BI43" s="78"/>
      <c r="BJ43"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43"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43"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43" s="35">
        <f>IFERROR(INDEX(Production[Input 6],MATCH(IslandModel_1000P[[#This Row],[Building]],Production[Building],0)),"")</f>
        <v>0</v>
      </c>
      <c r="BN43" s="78"/>
      <c r="BO43"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43"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43"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43" s="35">
        <f>IFERROR(INDEX(Production[Input 7],MATCH(IslandModel_1000P[[#This Row],[Building]],Production[Building],0)),"")</f>
        <v>0</v>
      </c>
      <c r="BS43" s="78"/>
      <c r="BT43"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43"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43"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43" s="35">
        <f>IFERROR(INDEX(Production[Input 8],MATCH(IslandModel_1000P[[#This Row],[Building]],Production[Building],0)),"")</f>
        <v>0</v>
      </c>
      <c r="BX43" s="78"/>
      <c r="BY43"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43"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43"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43" s="35">
        <f>IFERROR(INDEX(Production[Input 9],MATCH(IslandModel_1000P[[#This Row],[Building]],Production[Building],0)),"")</f>
        <v>0</v>
      </c>
      <c r="CC43" s="78"/>
      <c r="CD43"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43"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43"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43" s="35">
        <f>IFERROR(INDEX(Production[Input 10],MATCH(IslandModel_1000P[[#This Row],[Building]],Production[Building],0)),"")</f>
        <v>0</v>
      </c>
      <c r="CH43" s="78"/>
      <c r="CI43"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43"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43"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43"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43" s="82" t="str">
        <f>IslandModel_1000P[[#This Row],[Resource Produced]]</f>
        <v>Tobacco</v>
      </c>
      <c r="CN43" s="42">
        <f>IslandModel_1000P[[#This Row],[Amount produced/h]]</f>
        <v>480</v>
      </c>
      <c r="CO43" s="42" t="str">
        <f>IslandModel_1000P[[#This Row],[Input 1]]</f>
        <v>Land tile</v>
      </c>
      <c r="CP43" s="42">
        <f>-IslandModel_1000P[[#This Row],[Input 1 Consumed]]</f>
        <v>-16</v>
      </c>
      <c r="CQ43" s="42" t="str">
        <f>IslandModel_1000P[[#This Row],[Input 2]]</f>
        <v>Tobacco Field</v>
      </c>
      <c r="CR43" s="42">
        <f>-IslandModel_1000P[[#This Row],[Input 2 Consumed]]</f>
        <v>-128</v>
      </c>
      <c r="CS43" s="42">
        <f>IslandModel_1000P[[#This Row],[Input 3]]</f>
        <v>0</v>
      </c>
      <c r="CT43" s="42">
        <f>-IslandModel_1000P[[#This Row],[Input 3 Consumed]]</f>
        <v>0</v>
      </c>
      <c r="CU43" s="42">
        <f>IslandModel_1000P[[#This Row],[Input 4]]</f>
        <v>0</v>
      </c>
      <c r="CV43" s="42">
        <f>-IslandModel_1000P[[#This Row],[Input 4 Consumed]]</f>
        <v>0</v>
      </c>
      <c r="CW43" s="42">
        <f>IslandModel_1000P[[#This Row],[Input 5]]</f>
        <v>0</v>
      </c>
      <c r="CX43" s="42">
        <f>-IslandModel_1000P[[#This Row],[Input 5 Consumed]]</f>
        <v>0</v>
      </c>
      <c r="CY43" s="42">
        <f>IslandModel_1000P[[#This Row],[Input 6]]</f>
        <v>0</v>
      </c>
      <c r="CZ43" s="42">
        <f>-IslandModel_1000P[[#This Row],[Input 6 Consumed]]</f>
        <v>0</v>
      </c>
      <c r="DA43" s="42">
        <f>IslandModel_1000P[[#This Row],[Input 7]]</f>
        <v>0</v>
      </c>
      <c r="DB43" s="42">
        <f>-IslandModel_1000P[[#This Row],[Input 7 Consumed]]</f>
        <v>0</v>
      </c>
      <c r="DC43" s="42">
        <f>IslandModel_1000P[[#This Row],[Input 8]]</f>
        <v>0</v>
      </c>
      <c r="DD43" s="42">
        <f>-IslandModel_1000P[[#This Row],[Input 8 Consumed]]</f>
        <v>0</v>
      </c>
      <c r="DE43" s="42">
        <f>IslandModel_1000P[[#This Row],[Input 9]]</f>
        <v>0</v>
      </c>
      <c r="DF43" s="42">
        <f>-IslandModel_1000P[[#This Row],[Input 9 Consumed]]</f>
        <v>0</v>
      </c>
      <c r="DG43" s="42">
        <f>IslandModel_1000P[[#This Row],[Input 10]]</f>
        <v>0</v>
      </c>
      <c r="DH43" s="42">
        <f>-IslandModel_1000P[[#This Row],[Input 10 Consumed]]</f>
        <v>0</v>
      </c>
      <c r="DJ43" s="55" t="s">
        <v>385</v>
      </c>
      <c r="DK43" s="39">
        <f>SUM(SUMIFS(IslandModel_1000P[Resource 1 Qty],IslandModel_1000P[Resource 1],ResourceAvailable_1000P[[#This Row],[Resource]]))</f>
        <v>15</v>
      </c>
      <c r="DL43"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15</v>
      </c>
      <c r="DM43" s="39">
        <f>ResourceAvailable_1000P[[#This Row],[Amount Produced]]-ResourceAvailable_1000P[[#This Row],[Amount Consumed]]</f>
        <v>0</v>
      </c>
      <c r="DN43" s="58">
        <f>MAX(0,ResourceAvailable_1000P[[#This Row],[Amount Available for Resident Consumption]]-SUMIFS(ConsumptionModel_1000P[Resource Demand],ConsumptionModel_1000P[Resource],ResourceAvailable_1000P[[#This Row],[Resource]]))</f>
        <v>0</v>
      </c>
    </row>
    <row r="44" spans="2:118" ht="21" x14ac:dyDescent="0.65">
      <c r="B44" s="178">
        <f>ROW()</f>
        <v>44</v>
      </c>
      <c r="C44" s="70">
        <f>INDEX(ConsumptionModelInputs_1000P[Quantity],MATCH(ConsumptionModel_1000P[[#This Row],[Building]],ConsumptionModelInputs_1000P[Building],0))</f>
        <v>12</v>
      </c>
      <c r="D44" s="179" t="s">
        <v>58</v>
      </c>
      <c r="E44" s="179" t="s">
        <v>63</v>
      </c>
      <c r="F44" s="64" t="str">
        <f>IF(OR(ISBLANK(ConsumptionModel_1000P[[#This Row],[Building]]),ISBLANK(ConsumptionModel_1000P[[#This Row],[Resource]]))," - ",INDEX(Consumption[Type],MATCH(ConsumptionModel_1000P[[#This Row],[LookupValue]],Consumption[LookupValue],0)))</f>
        <v>Need</v>
      </c>
      <c r="G44" s="61" t="str">
        <f>IF(OR(ISBLANK(ConsumptionModel_1000P[[#This Row],[Building]]),ISBLANK(ConsumptionModel_1000P[[#This Row],[Resource]]))," - ",ConsumptionModel_1000P[[#This Row],[Building]]&amp;" - "&amp;ConsumptionModel_1000P[[#This Row],[Resource]])</f>
        <v>Merchant's Mansion - Fish</v>
      </c>
      <c r="H44" s="62">
        <f>ConsumptionModel_1000P[[#This Row],[Quantity]]*INDEX(Consumption[Consumption/person/h],MATCH(ConsumptionModel_1000P[[#This Row],[LookupValue]],Consumption[LookupValue],0))*IFERROR(INDEX(ResidentBuildings[Residents],MATCH(ConsumptionModel_1000P[[#This Row],[Building]],ResidentBuildings[Building],0)),0)</f>
        <v>450</v>
      </c>
      <c r="I44"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480</v>
      </c>
      <c r="J44" s="65">
        <f>IF(ConsumptionModel_1000P[[#This Row],[Quantity]]=0,"",IF(AND(ConsumptionModel_1000P[[#This Row],[Resource Demand]]=0,ConsumptionModel_1000P[[#This Row],[Resource Available]]&gt;0),1,MIN(1,IFERROR(ConsumptionModel_1000P[[#This Row],[Resource Available]]/ConsumptionModel_1000P[[#This Row],[Resource Demand]],0))))</f>
        <v>1</v>
      </c>
      <c r="K44"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44" s="197" t="s">
        <v>652</v>
      </c>
      <c r="P44" s="71">
        <f>SUMIFS(ResourceAvailable_1000P[Amount Produced],ResourceAvailable_1000P[Resource],ResourceMonitor_1000P[[#This Row],[Resource]])</f>
        <v>1</v>
      </c>
      <c r="Q44" s="71">
        <f>SUMIFS(ResourceAvailable_1000P[Amount Consumed],ResourceAvailable_1000P[Resource],ResourceMonitor_1000P[[#This Row],[Resource]])</f>
        <v>0</v>
      </c>
      <c r="R44" s="71">
        <f>SUMIFS(ResourceAvailable_1000P[Amount Available for Resident Consumption],ResourceAvailable_1000P[Resource],ResourceMonitor_1000P[[#This Row],[Resource]])</f>
        <v>1</v>
      </c>
      <c r="S44" s="39">
        <f>MAX(0,ResourceMonitor_1000P[[#This Row],[Amount Available for Resident Consumption]]-SUMIFS(ConsumptionModel_1000P[Resource Demand],ConsumptionModel_1000P[Resource],ResourceMonitor_1000P[[#This Row],[Resource]]))</f>
        <v>1</v>
      </c>
      <c r="T44" s="39">
        <f>MIN(0,ResourceMonitor_1000P[[#This Row],[Amount Available for Resident Consumption]]-SUMIFS(ConsumptionModel_1000P[Resource Demand],ConsumptionModel_1000P[Resource],ResourceMonitor_1000P[[#This Row],[Resource]]))</f>
        <v>0</v>
      </c>
      <c r="U44" s="122">
        <f>IFERROR(INDEX(#REF!,MATCH(ResourceMonitor_1000P[[#This Row],[Resource]],#REF!,0)),0)</f>
        <v>0</v>
      </c>
      <c r="V44" s="194">
        <f>IFERROR(ResourceMonitor_1000P[[#This Row],[Amount Produced]]/ResourceMonitor_1000P[[#This Row],[Production Target]],0)</f>
        <v>0</v>
      </c>
      <c r="W44" s="133" t="s">
        <v>242</v>
      </c>
      <c r="X44" s="47">
        <f>IF(ResourceMonitor_1000P[[#This Row],[Ignore shipping needs?]]="Yes",0,ROUNDUP(ResourceMonitor_1000P[[#This Row],[Production Target]]/INDEX(ShipRequirementCalculator[Cargo capacity/h (return, 50% empty)],MATCH($X$15,ShipRequirementCalculator[Ship],0)),0))</f>
        <v>0</v>
      </c>
      <c r="Y44" s="47">
        <f>IF(ResourceMonitor_1000P[[#This Row],[Ignore shipping needs?]]="Yes",0,ROUNDUP(ResourceMonitor_1000P[[#This Row],[Production Target]]/INDEX(ShipRequirementCalculator[Cargo capacity/h (return, 50% empty)],MATCH($Y$15,ShipRequirementCalculator[Ship],0)),0))</f>
        <v>0</v>
      </c>
      <c r="Z44" s="47">
        <f>IF(ResourceMonitor_1000P[[#This Row],[Ignore shipping needs?]]="Yes",0,ROUNDUP(ResourceMonitor_1000P[[#This Row],[Production Target]]/INDEX(ShipRequirementCalculator[Cargo capacity/h (return, 50% empty)],MATCH($Z$15,ShipRequirementCalculator[Ship],0)),0))</f>
        <v>0</v>
      </c>
      <c r="AA44" s="124"/>
      <c r="AC44" s="103" t="s">
        <v>116</v>
      </c>
      <c r="AD44" s="83">
        <f>ROW()</f>
        <v>44</v>
      </c>
      <c r="AE44" s="74">
        <v>8</v>
      </c>
      <c r="AF44" s="72" t="s">
        <v>115</v>
      </c>
      <c r="AG44" s="18"/>
      <c r="AH44" s="74">
        <v>8</v>
      </c>
      <c r="AI44" s="156">
        <f>IFERROR(IslandModel_1000P[[#This Row],[Quantity]]/IslandModel_1000P[[#This Row],[Target Quantity]],0)</f>
        <v>1</v>
      </c>
      <c r="AJ44" s="61" t="str">
        <f>IFERROR(INDEX(Production[Resource Produced],MATCH(IslandModel_1000P[[#This Row],[Building]],Production[Building],0)),"")</f>
        <v>Cigar</v>
      </c>
      <c r="AK44" s="99">
        <f>IFERROR(IslandModel_1000P[[#This Row],[Quantity]]*INDEX(Production[Production in 1h],MATCH(IslandModel_1000P[[#This Row],[Building]],Production[Building],0))*IslandModel_1000P[[#This Row],[Input Consumption Multiplier]],0)</f>
        <v>240</v>
      </c>
      <c r="AL44" s="115">
        <f>100%</f>
        <v>1</v>
      </c>
      <c r="AM44"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44" s="77" t="str">
        <f>IFERROR(INDEX(Production[Input 1],MATCH(IslandModel_1000P[[#This Row],[Building]],Production[Building],0)),"")</f>
        <v>Land tile</v>
      </c>
      <c r="AO44" s="78"/>
      <c r="AP44"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8</v>
      </c>
      <c r="AQ44"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2421.5</v>
      </c>
      <c r="AR44"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8</v>
      </c>
      <c r="AS44" s="35" t="str">
        <f>IFERROR(INDEX(Production[Input 2],MATCH(IslandModel_1000P[[#This Row],[Building]],Production[Building],0)),"")</f>
        <v>Tobacco</v>
      </c>
      <c r="AT44" s="78"/>
      <c r="AU44"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480</v>
      </c>
      <c r="AV44"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480</v>
      </c>
      <c r="AW44"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480</v>
      </c>
      <c r="AX44" s="35">
        <f>IFERROR(INDEX(Production[Input 3],MATCH(IslandModel_1000P[[#This Row],[Building]],Production[Building],0)),"")</f>
        <v>0</v>
      </c>
      <c r="AY44" s="78"/>
      <c r="AZ44"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44"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44"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44" s="35">
        <f>IFERROR(INDEX(Production[Input 4],MATCH(IslandModel_1000P[[#This Row],[Building]],Production[Building],0)),"")</f>
        <v>0</v>
      </c>
      <c r="BD44" s="78"/>
      <c r="BE44"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44"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44"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44" s="35">
        <f>IFERROR(INDEX(Production[Input 5],MATCH(IslandModel_1000P[[#This Row],[Building]],Production[Building],0)),"")</f>
        <v>0</v>
      </c>
      <c r="BI44" s="78"/>
      <c r="BJ44"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44"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44"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44" s="35">
        <f>IFERROR(INDEX(Production[Input 6],MATCH(IslandModel_1000P[[#This Row],[Building]],Production[Building],0)),"")</f>
        <v>0</v>
      </c>
      <c r="BN44" s="78"/>
      <c r="BO44"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44"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44"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44" s="35">
        <f>IFERROR(INDEX(Production[Input 7],MATCH(IslandModel_1000P[[#This Row],[Building]],Production[Building],0)),"")</f>
        <v>0</v>
      </c>
      <c r="BS44" s="78"/>
      <c r="BT44"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44"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44"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44" s="35">
        <f>IFERROR(INDEX(Production[Input 8],MATCH(IslandModel_1000P[[#This Row],[Building]],Production[Building],0)),"")</f>
        <v>0</v>
      </c>
      <c r="BX44" s="78"/>
      <c r="BY44"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44"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44"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44" s="35">
        <f>IFERROR(INDEX(Production[Input 9],MATCH(IslandModel_1000P[[#This Row],[Building]],Production[Building],0)),"")</f>
        <v>0</v>
      </c>
      <c r="CC44" s="78"/>
      <c r="CD44"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44"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44"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44" s="35">
        <f>IFERROR(INDEX(Production[Input 10],MATCH(IslandModel_1000P[[#This Row],[Building]],Production[Building],0)),"")</f>
        <v>0</v>
      </c>
      <c r="CH44" s="78"/>
      <c r="CI44"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44"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44"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44"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44" s="82" t="str">
        <f>IslandModel_1000P[[#This Row],[Resource Produced]]</f>
        <v>Cigar</v>
      </c>
      <c r="CN44" s="42">
        <f>IslandModel_1000P[[#This Row],[Amount produced/h]]</f>
        <v>240</v>
      </c>
      <c r="CO44" s="42" t="str">
        <f>IslandModel_1000P[[#This Row],[Input 1]]</f>
        <v>Land tile</v>
      </c>
      <c r="CP44" s="42">
        <f>-IslandModel_1000P[[#This Row],[Input 1 Consumed]]</f>
        <v>-8</v>
      </c>
      <c r="CQ44" s="42" t="str">
        <f>IslandModel_1000P[[#This Row],[Input 2]]</f>
        <v>Tobacco</v>
      </c>
      <c r="CR44" s="42">
        <f>-IslandModel_1000P[[#This Row],[Input 2 Consumed]]</f>
        <v>-480</v>
      </c>
      <c r="CS44" s="42">
        <f>IslandModel_1000P[[#This Row],[Input 3]]</f>
        <v>0</v>
      </c>
      <c r="CT44" s="42">
        <f>-IslandModel_1000P[[#This Row],[Input 3 Consumed]]</f>
        <v>0</v>
      </c>
      <c r="CU44" s="42">
        <f>IslandModel_1000P[[#This Row],[Input 4]]</f>
        <v>0</v>
      </c>
      <c r="CV44" s="42">
        <f>-IslandModel_1000P[[#This Row],[Input 4 Consumed]]</f>
        <v>0</v>
      </c>
      <c r="CW44" s="42">
        <f>IslandModel_1000P[[#This Row],[Input 5]]</f>
        <v>0</v>
      </c>
      <c r="CX44" s="42">
        <f>-IslandModel_1000P[[#This Row],[Input 5 Consumed]]</f>
        <v>0</v>
      </c>
      <c r="CY44" s="42">
        <f>IslandModel_1000P[[#This Row],[Input 6]]</f>
        <v>0</v>
      </c>
      <c r="CZ44" s="42">
        <f>-IslandModel_1000P[[#This Row],[Input 6 Consumed]]</f>
        <v>0</v>
      </c>
      <c r="DA44" s="42">
        <f>IslandModel_1000P[[#This Row],[Input 7]]</f>
        <v>0</v>
      </c>
      <c r="DB44" s="42">
        <f>-IslandModel_1000P[[#This Row],[Input 7 Consumed]]</f>
        <v>0</v>
      </c>
      <c r="DC44" s="42">
        <f>IslandModel_1000P[[#This Row],[Input 8]]</f>
        <v>0</v>
      </c>
      <c r="DD44" s="42">
        <f>-IslandModel_1000P[[#This Row],[Input 8 Consumed]]</f>
        <v>0</v>
      </c>
      <c r="DE44" s="42">
        <f>IslandModel_1000P[[#This Row],[Input 9]]</f>
        <v>0</v>
      </c>
      <c r="DF44" s="42">
        <f>-IslandModel_1000P[[#This Row],[Input 9 Consumed]]</f>
        <v>0</v>
      </c>
      <c r="DG44" s="42">
        <f>IslandModel_1000P[[#This Row],[Input 10]]</f>
        <v>0</v>
      </c>
      <c r="DH44" s="42">
        <f>-IslandModel_1000P[[#This Row],[Input 10 Consumed]]</f>
        <v>0</v>
      </c>
      <c r="DJ44" s="55" t="s">
        <v>331</v>
      </c>
      <c r="DK44" s="39">
        <f>SUM(SUMIFS(IslandModel_1000P[Resource 1 Qty],IslandModel_1000P[Resource 1],ResourceAvailable_1000P[[#This Row],[Resource]]))</f>
        <v>2</v>
      </c>
      <c r="DL44"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44" s="39">
        <f>ResourceAvailable_1000P[[#This Row],[Amount Produced]]-ResourceAvailable_1000P[[#This Row],[Amount Consumed]]</f>
        <v>2</v>
      </c>
      <c r="DN44" s="20">
        <f>MAX(0,ResourceAvailable_1000P[[#This Row],[Amount Available for Resident Consumption]]-SUMIFS(ConsumptionModel_1000P[Resource Demand],ConsumptionModel_1000P[Resource],ResourceAvailable_1000P[[#This Row],[Resource]]))</f>
        <v>2</v>
      </c>
    </row>
    <row r="45" spans="2:118" ht="21" x14ac:dyDescent="0.65">
      <c r="B45" s="178">
        <f>ROW()</f>
        <v>45</v>
      </c>
      <c r="C45" s="70">
        <f>INDEX(ConsumptionModelInputs_1000P[Quantity],MATCH(ConsumptionModel_1000P[[#This Row],[Building]],ConsumptionModelInputs_1000P[Building],0))</f>
        <v>12</v>
      </c>
      <c r="D45" s="179" t="s">
        <v>58</v>
      </c>
      <c r="E45" s="179" t="s">
        <v>66</v>
      </c>
      <c r="F45" s="64" t="str">
        <f>IF(OR(ISBLANK(ConsumptionModel_1000P[[#This Row],[Building]]),ISBLANK(ConsumptionModel_1000P[[#This Row],[Resource]]))," - ",INDEX(Consumption[Type],MATCH(ConsumptionModel_1000P[[#This Row],[LookupValue]],Consumption[LookupValue],0)))</f>
        <v>Need</v>
      </c>
      <c r="G45" s="61" t="str">
        <f>IF(OR(ISBLANK(ConsumptionModel_1000P[[#This Row],[Building]]),ISBLANK(ConsumptionModel_1000P[[#This Row],[Resource]]))," - ",ConsumptionModel_1000P[[#This Row],[Building]]&amp;" - "&amp;ConsumptionModel_1000P[[#This Row],[Resource]])</f>
        <v>Merchant's Mansion - Schnapps</v>
      </c>
      <c r="H45" s="62">
        <f>ConsumptionModel_1000P[[#This Row],[Quantity]]*INDEX(Consumption[Consumption/person/h],MATCH(ConsumptionModel_1000P[[#This Row],[LookupValue]],Consumption[LookupValue],0))*IFERROR(INDEX(ResidentBuildings[Residents],MATCH(ConsumptionModel_1000P[[#This Row],[Building]],ResidentBuildings[Building],0)),0)</f>
        <v>450</v>
      </c>
      <c r="I45"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545</v>
      </c>
      <c r="J45" s="65">
        <f>IF(ConsumptionModel_1000P[[#This Row],[Quantity]]=0,"",IF(AND(ConsumptionModel_1000P[[#This Row],[Resource Demand]]=0,ConsumptionModel_1000P[[#This Row],[Resource Available]]&gt;0),1,MIN(1,IFERROR(ConsumptionModel_1000P[[#This Row],[Resource Available]]/ConsumptionModel_1000P[[#This Row],[Resource Demand]],0))))</f>
        <v>1</v>
      </c>
      <c r="K45"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45" s="197" t="s">
        <v>110</v>
      </c>
      <c r="P45" s="71">
        <f>SUMIFS(ResourceAvailable_1000P[Amount Produced],ResourceAvailable_1000P[Resource],ResourceMonitor_1000P[[#This Row],[Resource]])</f>
        <v>20</v>
      </c>
      <c r="Q45" s="71">
        <f>SUMIFS(ResourceAvailable_1000P[Amount Consumed],ResourceAvailable_1000P[Resource],ResourceMonitor_1000P[[#This Row],[Resource]])</f>
        <v>20</v>
      </c>
      <c r="R45" s="71">
        <f>SUMIFS(ResourceAvailable_1000P[Amount Available for Resident Consumption],ResourceAvailable_1000P[Resource],ResourceMonitor_1000P[[#This Row],[Resource]])</f>
        <v>0</v>
      </c>
      <c r="S45" s="39">
        <f>MAX(0,ResourceMonitor_1000P[[#This Row],[Amount Available for Resident Consumption]]-SUMIFS(ConsumptionModel_1000P[Resource Demand],ConsumptionModel_1000P[Resource],ResourceMonitor_1000P[[#This Row],[Resource]]))</f>
        <v>0</v>
      </c>
      <c r="T45" s="39">
        <f>MIN(0,ResourceMonitor_1000P[[#This Row],[Amount Available for Resident Consumption]]-SUMIFS(ConsumptionModel_1000P[Resource Demand],ConsumptionModel_1000P[Resource],ResourceMonitor_1000P[[#This Row],[Resource]]))</f>
        <v>0</v>
      </c>
      <c r="U45" s="122">
        <f>IFERROR(INDEX(#REF!,MATCH(ResourceMonitor_1000P[[#This Row],[Resource]],#REF!,0)),0)</f>
        <v>0</v>
      </c>
      <c r="V45" s="194">
        <f>IFERROR(ResourceMonitor_1000P[[#This Row],[Amount Produced]]/ResourceMonitor_1000P[[#This Row],[Production Target]],0)</f>
        <v>0</v>
      </c>
      <c r="W45" s="133"/>
      <c r="X45" s="47">
        <f>IF(ResourceMonitor_1000P[[#This Row],[Ignore shipping needs?]]="Yes",0,ROUNDUP(ResourceMonitor_1000P[[#This Row],[Production Target]]/INDEX(ShipRequirementCalculator[Cargo capacity/h (return, 50% empty)],MATCH($X$15,ShipRequirementCalculator[Ship],0)),0))</f>
        <v>0</v>
      </c>
      <c r="Y45" s="47">
        <f>IF(ResourceMonitor_1000P[[#This Row],[Ignore shipping needs?]]="Yes",0,ROUNDUP(ResourceMonitor_1000P[[#This Row],[Production Target]]/INDEX(ShipRequirementCalculator[Cargo capacity/h (return, 50% empty)],MATCH($Y$15,ShipRequirementCalculator[Ship],0)),0))</f>
        <v>0</v>
      </c>
      <c r="Z45" s="47">
        <f>IF(ResourceMonitor_1000P[[#This Row],[Ignore shipping needs?]]="Yes",0,ROUNDUP(ResourceMonitor_1000P[[#This Row],[Production Target]]/INDEX(ShipRequirementCalculator[Cargo capacity/h (return, 50% empty)],MATCH($Z$15,ShipRequirementCalculator[Ship],0)),0))</f>
        <v>0</v>
      </c>
      <c r="AA45" s="124"/>
      <c r="AC45" s="103" t="s">
        <v>332</v>
      </c>
      <c r="AD45" s="83">
        <f>ROW()</f>
        <v>45</v>
      </c>
      <c r="AE45" s="74">
        <v>3</v>
      </c>
      <c r="AF45" s="72" t="s">
        <v>335</v>
      </c>
      <c r="AG45" s="18"/>
      <c r="AH45" s="74">
        <v>3</v>
      </c>
      <c r="AI45" s="156">
        <f>IFERROR(IslandModel_1000P[[#This Row],[Quantity]]/IslandModel_1000P[[#This Row],[Target Quantity]],0)</f>
        <v>1</v>
      </c>
      <c r="AJ45" s="61" t="str">
        <f>IFERROR(INDEX(Production[Resource Produced],MATCH(IslandModel_1000P[[#This Row],[Building]],Production[Building],0)),"")</f>
        <v>Education</v>
      </c>
      <c r="AK45" s="99">
        <f>IFERROR(IslandModel_1000P[[#This Row],[Quantity]]*INDEX(Production[Production in 1h],MATCH(IslandModel_1000P[[#This Row],[Building]],Production[Building],0))*IslandModel_1000P[[#This Row],[Input Consumption Multiplier]],0)</f>
        <v>3</v>
      </c>
      <c r="AL45" s="115">
        <f>100%</f>
        <v>1</v>
      </c>
      <c r="AM45"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45" s="77" t="str">
        <f>IFERROR(INDEX(Production[Input 1],MATCH(IslandModel_1000P[[#This Row],[Building]],Production[Building],0)),"")</f>
        <v>Land tile</v>
      </c>
      <c r="AO45" s="78"/>
      <c r="AP45"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3</v>
      </c>
      <c r="AQ45"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2413.5</v>
      </c>
      <c r="AR45"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3</v>
      </c>
      <c r="AS45" s="35">
        <f>IFERROR(INDEX(Production[Input 2],MATCH(IslandModel_1000P[[#This Row],[Building]],Production[Building],0)),"")</f>
        <v>0</v>
      </c>
      <c r="AT45" s="78"/>
      <c r="AU45"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45"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45"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45" s="35">
        <f>IFERROR(INDEX(Production[Input 3],MATCH(IslandModel_1000P[[#This Row],[Building]],Production[Building],0)),"")</f>
        <v>0</v>
      </c>
      <c r="AY45" s="78"/>
      <c r="AZ45"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45"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45"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45" s="35">
        <f>IFERROR(INDEX(Production[Input 4],MATCH(IslandModel_1000P[[#This Row],[Building]],Production[Building],0)),"")</f>
        <v>0</v>
      </c>
      <c r="BD45" s="78"/>
      <c r="BE45"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45"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45"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45" s="35">
        <f>IFERROR(INDEX(Production[Input 5],MATCH(IslandModel_1000P[[#This Row],[Building]],Production[Building],0)),"")</f>
        <v>0</v>
      </c>
      <c r="BI45" s="78"/>
      <c r="BJ45"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45"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45"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45" s="35">
        <f>IFERROR(INDEX(Production[Input 6],MATCH(IslandModel_1000P[[#This Row],[Building]],Production[Building],0)),"")</f>
        <v>0</v>
      </c>
      <c r="BN45" s="78"/>
      <c r="BO45"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45"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45"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45" s="35">
        <f>IFERROR(INDEX(Production[Input 7],MATCH(IslandModel_1000P[[#This Row],[Building]],Production[Building],0)),"")</f>
        <v>0</v>
      </c>
      <c r="BS45" s="78"/>
      <c r="BT45"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45"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45"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45" s="35">
        <f>IFERROR(INDEX(Production[Input 8],MATCH(IslandModel_1000P[[#This Row],[Building]],Production[Building],0)),"")</f>
        <v>0</v>
      </c>
      <c r="BX45" s="78"/>
      <c r="BY45"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45"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45"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45" s="35">
        <f>IFERROR(INDEX(Production[Input 9],MATCH(IslandModel_1000P[[#This Row],[Building]],Production[Building],0)),"")</f>
        <v>0</v>
      </c>
      <c r="CC45" s="78"/>
      <c r="CD45"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45"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45"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45" s="35">
        <f>IFERROR(INDEX(Production[Input 10],MATCH(IslandModel_1000P[[#This Row],[Building]],Production[Building],0)),"")</f>
        <v>0</v>
      </c>
      <c r="CH45" s="78"/>
      <c r="CI45"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45"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45"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45"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45" s="82" t="str">
        <f>IslandModel_1000P[[#This Row],[Resource Produced]]</f>
        <v>Education</v>
      </c>
      <c r="CN45" s="42">
        <f>IslandModel_1000P[[#This Row],[Amount produced/h]]</f>
        <v>3</v>
      </c>
      <c r="CO45" s="42" t="str">
        <f>IslandModel_1000P[[#This Row],[Input 1]]</f>
        <v>Land tile</v>
      </c>
      <c r="CP45" s="42">
        <f>-IslandModel_1000P[[#This Row],[Input 1 Consumed]]</f>
        <v>-3</v>
      </c>
      <c r="CQ45" s="42">
        <f>IslandModel_1000P[[#This Row],[Input 2]]</f>
        <v>0</v>
      </c>
      <c r="CR45" s="42">
        <f>-IslandModel_1000P[[#This Row],[Input 2 Consumed]]</f>
        <v>0</v>
      </c>
      <c r="CS45" s="42">
        <f>IslandModel_1000P[[#This Row],[Input 3]]</f>
        <v>0</v>
      </c>
      <c r="CT45" s="42">
        <f>-IslandModel_1000P[[#This Row],[Input 3 Consumed]]</f>
        <v>0</v>
      </c>
      <c r="CU45" s="42">
        <f>IslandModel_1000P[[#This Row],[Input 4]]</f>
        <v>0</v>
      </c>
      <c r="CV45" s="42">
        <f>-IslandModel_1000P[[#This Row],[Input 4 Consumed]]</f>
        <v>0</v>
      </c>
      <c r="CW45" s="42">
        <f>IslandModel_1000P[[#This Row],[Input 5]]</f>
        <v>0</v>
      </c>
      <c r="CX45" s="42">
        <f>-IslandModel_1000P[[#This Row],[Input 5 Consumed]]</f>
        <v>0</v>
      </c>
      <c r="CY45" s="42">
        <f>IslandModel_1000P[[#This Row],[Input 6]]</f>
        <v>0</v>
      </c>
      <c r="CZ45" s="42">
        <f>-IslandModel_1000P[[#This Row],[Input 6 Consumed]]</f>
        <v>0</v>
      </c>
      <c r="DA45" s="42">
        <f>IslandModel_1000P[[#This Row],[Input 7]]</f>
        <v>0</v>
      </c>
      <c r="DB45" s="42">
        <f>-IslandModel_1000P[[#This Row],[Input 7 Consumed]]</f>
        <v>0</v>
      </c>
      <c r="DC45" s="42">
        <f>IslandModel_1000P[[#This Row],[Input 8]]</f>
        <v>0</v>
      </c>
      <c r="DD45" s="42">
        <f>-IslandModel_1000P[[#This Row],[Input 8 Consumed]]</f>
        <v>0</v>
      </c>
      <c r="DE45" s="42">
        <f>IslandModel_1000P[[#This Row],[Input 9]]</f>
        <v>0</v>
      </c>
      <c r="DF45" s="42">
        <f>-IslandModel_1000P[[#This Row],[Input 9 Consumed]]</f>
        <v>0</v>
      </c>
      <c r="DG45" s="42">
        <f>IslandModel_1000P[[#This Row],[Input 10]]</f>
        <v>0</v>
      </c>
      <c r="DH45" s="42">
        <f>-IslandModel_1000P[[#This Row],[Input 10 Consumed]]</f>
        <v>0</v>
      </c>
      <c r="DJ45" s="55" t="s">
        <v>93</v>
      </c>
      <c r="DK45" s="39">
        <f>SUM(SUMIFS(IslandModel_1000P[Resource 1 Qty],IslandModel_1000P[Resource 1],ResourceAvailable_1000P[[#This Row],[Resource]]))</f>
        <v>82.5</v>
      </c>
      <c r="DL45"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77.5</v>
      </c>
      <c r="DM45" s="39">
        <f>ResourceAvailable_1000P[[#This Row],[Amount Produced]]-ResourceAvailable_1000P[[#This Row],[Amount Consumed]]</f>
        <v>5</v>
      </c>
      <c r="DN45" s="20">
        <f>MAX(0,ResourceAvailable_1000P[[#This Row],[Amount Available for Resident Consumption]]-SUMIFS(ConsumptionModel_1000P[Resource Demand],ConsumptionModel_1000P[Resource],ResourceAvailable_1000P[[#This Row],[Resource]]))</f>
        <v>5</v>
      </c>
    </row>
    <row r="46" spans="2:118" ht="21" x14ac:dyDescent="0.65">
      <c r="B46" s="178">
        <f>ROW()</f>
        <v>46</v>
      </c>
      <c r="C46" s="70">
        <f>INDEX(ConsumptionModelInputs_1000P[Quantity],MATCH(ConsumptionModel_1000P[[#This Row],[Building]],ConsumptionModelInputs_1000P[Building],0))</f>
        <v>12</v>
      </c>
      <c r="D46" s="179" t="s">
        <v>58</v>
      </c>
      <c r="E46" s="179" t="s">
        <v>116</v>
      </c>
      <c r="F46" s="64" t="str">
        <f>IF(OR(ISBLANK(ConsumptionModel_1000P[[#This Row],[Building]]),ISBLANK(ConsumptionModel_1000P[[#This Row],[Resource]]))," - ",INDEX(Consumption[Type],MATCH(ConsumptionModel_1000P[[#This Row],[LookupValue]],Consumption[LookupValue],0)))</f>
        <v>Need</v>
      </c>
      <c r="G46" s="61" t="str">
        <f>IF(OR(ISBLANK(ConsumptionModel_1000P[[#This Row],[Building]]),ISBLANK(ConsumptionModel_1000P[[#This Row],[Resource]]))," - ",ConsumptionModel_1000P[[#This Row],[Building]]&amp;" - "&amp;ConsumptionModel_1000P[[#This Row],[Resource]])</f>
        <v>Merchant's Mansion - Cigar</v>
      </c>
      <c r="H46" s="62">
        <f>ConsumptionModel_1000P[[#This Row],[Quantity]]*INDEX(Consumption[Consumption/person/h],MATCH(ConsumptionModel_1000P[[#This Row],[LookupValue]],Consumption[LookupValue],0))*IFERROR(INDEX(ResidentBuildings[Residents],MATCH(ConsumptionModel_1000P[[#This Row],[Building]],ResidentBuildings[Building],0)),0)</f>
        <v>44.999999999999993</v>
      </c>
      <c r="I46"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210</v>
      </c>
      <c r="J46" s="65">
        <f>IF(ConsumptionModel_1000P[[#This Row],[Quantity]]=0,"",IF(AND(ConsumptionModel_1000P[[#This Row],[Resource Demand]]=0,ConsumptionModel_1000P[[#This Row],[Resource Available]]&gt;0),1,MIN(1,IFERROR(ConsumptionModel_1000P[[#This Row],[Resource Available]]/ConsumptionModel_1000P[[#This Row],[Resource Demand]],0))))</f>
        <v>1</v>
      </c>
      <c r="K46"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46" s="197" t="s">
        <v>464</v>
      </c>
      <c r="P46" s="71">
        <f>SUMIFS(ResourceAvailable_1000P[Amount Produced],ResourceAvailable_1000P[Resource],ResourceMonitor_1000P[[#This Row],[Resource]])</f>
        <v>1</v>
      </c>
      <c r="Q46" s="71">
        <f>SUMIFS(ResourceAvailable_1000P[Amount Consumed],ResourceAvailable_1000P[Resource],ResourceMonitor_1000P[[#This Row],[Resource]])</f>
        <v>0</v>
      </c>
      <c r="R46" s="71">
        <f>SUMIFS(ResourceAvailable_1000P[Amount Available for Resident Consumption],ResourceAvailable_1000P[Resource],ResourceMonitor_1000P[[#This Row],[Resource]])</f>
        <v>1</v>
      </c>
      <c r="S46" s="39">
        <f>MAX(0,ResourceMonitor_1000P[[#This Row],[Amount Available for Resident Consumption]]-SUMIFS(ConsumptionModel_1000P[Resource Demand],ConsumptionModel_1000P[Resource],ResourceMonitor_1000P[[#This Row],[Resource]]))</f>
        <v>1</v>
      </c>
      <c r="T46" s="39">
        <f>MIN(0,ResourceMonitor_1000P[[#This Row],[Amount Available for Resident Consumption]]-SUMIFS(ConsumptionModel_1000P[Resource Demand],ConsumptionModel_1000P[Resource],ResourceMonitor_1000P[[#This Row],[Resource]]))</f>
        <v>0</v>
      </c>
      <c r="U46" s="122">
        <f>IFERROR(INDEX(#REF!,MATCH(ResourceMonitor_1000P[[#This Row],[Resource]],#REF!,0)),0)</f>
        <v>0</v>
      </c>
      <c r="V46" s="194">
        <f>IFERROR(ResourceMonitor_1000P[[#This Row],[Amount Produced]]/ResourceMonitor_1000P[[#This Row],[Production Target]],0)</f>
        <v>0</v>
      </c>
      <c r="W46" s="133" t="s">
        <v>242</v>
      </c>
      <c r="X46" s="47">
        <f>IF(ResourceMonitor_1000P[[#This Row],[Ignore shipping needs?]]="Yes",0,ROUNDUP(ResourceMonitor_1000P[[#This Row],[Production Target]]/INDEX(ShipRequirementCalculator[Cargo capacity/h (return, 50% empty)],MATCH($X$15,ShipRequirementCalculator[Ship],0)),0))</f>
        <v>0</v>
      </c>
      <c r="Y46" s="47">
        <f>IF(ResourceMonitor_1000P[[#This Row],[Ignore shipping needs?]]="Yes",0,ROUNDUP(ResourceMonitor_1000P[[#This Row],[Production Target]]/INDEX(ShipRequirementCalculator[Cargo capacity/h (return, 50% empty)],MATCH($Y$15,ShipRequirementCalculator[Ship],0)),0))</f>
        <v>0</v>
      </c>
      <c r="Z46" s="47">
        <f>IF(ResourceMonitor_1000P[[#This Row],[Ignore shipping needs?]]="Yes",0,ROUNDUP(ResourceMonitor_1000P[[#This Row],[Production Target]]/INDEX(ShipRequirementCalculator[Cargo capacity/h (return, 50% empty)],MATCH($Z$15,ShipRequirementCalculator[Ship],0)),0))</f>
        <v>0</v>
      </c>
      <c r="AA46" s="124"/>
      <c r="AC46" s="103" t="s">
        <v>137</v>
      </c>
      <c r="AD46" s="83">
        <f>ROW()</f>
        <v>46</v>
      </c>
      <c r="AE46" s="198">
        <f>AE47*8</f>
        <v>0</v>
      </c>
      <c r="AF46" s="50" t="s">
        <v>889</v>
      </c>
      <c r="AG46" s="18"/>
      <c r="AH46" s="198">
        <f>AH47*8</f>
        <v>0</v>
      </c>
      <c r="AI46" s="156">
        <f>IFERROR(IslandModel_1000P[[#This Row],[Quantity]]/IslandModel_1000P[[#This Row],[Target Quantity]],0)</f>
        <v>0</v>
      </c>
      <c r="AJ46" s="61" t="str">
        <f>IFERROR(INDEX(Production[Resource Produced],MATCH(IslandModel_1000P[[#This Row],[Building]],Production[Building],0)),"")</f>
        <v>Sheep Field</v>
      </c>
      <c r="AK46" s="99">
        <f>IFERROR(IslandModel_1000P[[#This Row],[Quantity]]*INDEX(Production[Production in 1h],MATCH(IslandModel_1000P[[#This Row],[Building]],Production[Building],0))*IslandModel_1000P[[#This Row],[Input Consumption Multiplier]],0)</f>
        <v>0</v>
      </c>
      <c r="AL46" s="115">
        <f>100%</f>
        <v>1</v>
      </c>
      <c r="AM46"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46" s="77" t="str">
        <f>IFERROR(INDEX(Production[Input 1],MATCH(IslandModel_1000P[[#This Row],[Building]],Production[Building],0)),"")</f>
        <v>Land tile</v>
      </c>
      <c r="AO46" s="78"/>
      <c r="AP46"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46"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2410.5</v>
      </c>
      <c r="AR46"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46" s="35">
        <f>IFERROR(INDEX(Production[Input 2],MATCH(IslandModel_1000P[[#This Row],[Building]],Production[Building],0)),"")</f>
        <v>0</v>
      </c>
      <c r="AT46" s="78"/>
      <c r="AU46"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46"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46"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46" s="35">
        <f>IFERROR(INDEX(Production[Input 3],MATCH(IslandModel_1000P[[#This Row],[Building]],Production[Building],0)),"")</f>
        <v>0</v>
      </c>
      <c r="AY46" s="78"/>
      <c r="AZ46"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46"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46"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46" s="35">
        <f>IFERROR(INDEX(Production[Input 4],MATCH(IslandModel_1000P[[#This Row],[Building]],Production[Building],0)),"")</f>
        <v>0</v>
      </c>
      <c r="BD46" s="78"/>
      <c r="BE46"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46"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46"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46" s="35">
        <f>IFERROR(INDEX(Production[Input 5],MATCH(IslandModel_1000P[[#This Row],[Building]],Production[Building],0)),"")</f>
        <v>0</v>
      </c>
      <c r="BI46" s="78"/>
      <c r="BJ46"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46"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46"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46" s="35">
        <f>IFERROR(INDEX(Production[Input 6],MATCH(IslandModel_1000P[[#This Row],[Building]],Production[Building],0)),"")</f>
        <v>0</v>
      </c>
      <c r="BN46" s="78"/>
      <c r="BO46"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46"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46"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46" s="35">
        <f>IFERROR(INDEX(Production[Input 7],MATCH(IslandModel_1000P[[#This Row],[Building]],Production[Building],0)),"")</f>
        <v>0</v>
      </c>
      <c r="BS46" s="78"/>
      <c r="BT46"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46"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46"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46" s="35">
        <f>IFERROR(INDEX(Production[Input 8],MATCH(IslandModel_1000P[[#This Row],[Building]],Production[Building],0)),"")</f>
        <v>0</v>
      </c>
      <c r="BX46" s="78"/>
      <c r="BY46"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46"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46"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46" s="35">
        <f>IFERROR(INDEX(Production[Input 9],MATCH(IslandModel_1000P[[#This Row],[Building]],Production[Building],0)),"")</f>
        <v>0</v>
      </c>
      <c r="CC46" s="78"/>
      <c r="CD46"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46"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46"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46" s="35">
        <f>IFERROR(INDEX(Production[Input 10],MATCH(IslandModel_1000P[[#This Row],[Building]],Production[Building],0)),"")</f>
        <v>0</v>
      </c>
      <c r="CH46" s="78"/>
      <c r="CI46"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46"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46"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46"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46" s="82" t="str">
        <f>IslandModel_1000P[[#This Row],[Resource Produced]]</f>
        <v>Sheep Field</v>
      </c>
      <c r="CN46" s="42">
        <f>IslandModel_1000P[[#This Row],[Amount produced/h]]</f>
        <v>0</v>
      </c>
      <c r="CO46" s="42" t="str">
        <f>IslandModel_1000P[[#This Row],[Input 1]]</f>
        <v>Land tile</v>
      </c>
      <c r="CP46" s="42">
        <f>-IslandModel_1000P[[#This Row],[Input 1 Consumed]]</f>
        <v>0</v>
      </c>
      <c r="CQ46" s="42">
        <f>IslandModel_1000P[[#This Row],[Input 2]]</f>
        <v>0</v>
      </c>
      <c r="CR46" s="42">
        <f>-IslandModel_1000P[[#This Row],[Input 2 Consumed]]</f>
        <v>0</v>
      </c>
      <c r="CS46" s="42">
        <f>IslandModel_1000P[[#This Row],[Input 3]]</f>
        <v>0</v>
      </c>
      <c r="CT46" s="42">
        <f>-IslandModel_1000P[[#This Row],[Input 3 Consumed]]</f>
        <v>0</v>
      </c>
      <c r="CU46" s="42">
        <f>IslandModel_1000P[[#This Row],[Input 4]]</f>
        <v>0</v>
      </c>
      <c r="CV46" s="42">
        <f>-IslandModel_1000P[[#This Row],[Input 4 Consumed]]</f>
        <v>0</v>
      </c>
      <c r="CW46" s="42">
        <f>IslandModel_1000P[[#This Row],[Input 5]]</f>
        <v>0</v>
      </c>
      <c r="CX46" s="42">
        <f>-IslandModel_1000P[[#This Row],[Input 5 Consumed]]</f>
        <v>0</v>
      </c>
      <c r="CY46" s="42">
        <f>IslandModel_1000P[[#This Row],[Input 6]]</f>
        <v>0</v>
      </c>
      <c r="CZ46" s="42">
        <f>-IslandModel_1000P[[#This Row],[Input 6 Consumed]]</f>
        <v>0</v>
      </c>
      <c r="DA46" s="42">
        <f>IslandModel_1000P[[#This Row],[Input 7]]</f>
        <v>0</v>
      </c>
      <c r="DB46" s="42">
        <f>-IslandModel_1000P[[#This Row],[Input 7 Consumed]]</f>
        <v>0</v>
      </c>
      <c r="DC46" s="42">
        <f>IslandModel_1000P[[#This Row],[Input 8]]</f>
        <v>0</v>
      </c>
      <c r="DD46" s="42">
        <f>-IslandModel_1000P[[#This Row],[Input 8 Consumed]]</f>
        <v>0</v>
      </c>
      <c r="DE46" s="42">
        <f>IslandModel_1000P[[#This Row],[Input 9]]</f>
        <v>0</v>
      </c>
      <c r="DF46" s="42">
        <f>-IslandModel_1000P[[#This Row],[Input 9 Consumed]]</f>
        <v>0</v>
      </c>
      <c r="DG46" s="42">
        <f>IslandModel_1000P[[#This Row],[Input 10]]</f>
        <v>0</v>
      </c>
      <c r="DH46" s="42">
        <f>-IslandModel_1000P[[#This Row],[Input 10 Consumed]]</f>
        <v>0</v>
      </c>
      <c r="DJ46" t="s">
        <v>91</v>
      </c>
      <c r="DK46" s="39">
        <f>SUM(SUMIFS(IslandModel_1000P[Resource 1 Qty],IslandModel_1000P[Resource 1],ResourceAvailable_1000P[[#This Row],[Resource]]))</f>
        <v>90</v>
      </c>
      <c r="DL46"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82.5</v>
      </c>
      <c r="DM46" s="39">
        <f>ResourceAvailable_1000P[[#This Row],[Amount Produced]]-ResourceAvailable_1000P[[#This Row],[Amount Consumed]]</f>
        <v>7.5</v>
      </c>
      <c r="DN46" s="20">
        <f>MAX(0,ResourceAvailable_1000P[[#This Row],[Amount Available for Resident Consumption]]-SUMIFS(ConsumptionModel_1000P[Resource Demand],ConsumptionModel_1000P[Resource],ResourceAvailable_1000P[[#This Row],[Resource]]))</f>
        <v>7.5</v>
      </c>
    </row>
    <row r="47" spans="2:118" ht="21" x14ac:dyDescent="0.65">
      <c r="B47" s="178">
        <f>ROW()</f>
        <v>47</v>
      </c>
      <c r="C47" s="70">
        <f>INDEX(ConsumptionModelInputs_1000P[Quantity],MATCH(ConsumptionModel_1000P[[#This Row],[Building]],ConsumptionModelInputs_1000P[Building],0))</f>
        <v>12</v>
      </c>
      <c r="D47" s="179" t="s">
        <v>58</v>
      </c>
      <c r="E47" s="179" t="s">
        <v>108</v>
      </c>
      <c r="F47" s="64" t="str">
        <f>IF(OR(ISBLANK(ConsumptionModel_1000P[[#This Row],[Building]]),ISBLANK(ConsumptionModel_1000P[[#This Row],[Resource]]))," - ",INDEX(Consumption[Type],MATCH(ConsumptionModel_1000P[[#This Row],[LookupValue]],Consumption[LookupValue],0)))</f>
        <v>Need</v>
      </c>
      <c r="G47" s="61" t="str">
        <f>IF(OR(ISBLANK(ConsumptionModel_1000P[[#This Row],[Building]]),ISBLANK(ConsumptionModel_1000P[[#This Row],[Resource]]))," - ",ConsumptionModel_1000P[[#This Row],[Building]]&amp;" - "&amp;ConsumptionModel_1000P[[#This Row],[Resource]])</f>
        <v>Merchant's Mansion - Bread</v>
      </c>
      <c r="H47" s="62">
        <f>ConsumptionModel_1000P[[#This Row],[Quantity]]*INDEX(Consumption[Consumption/person/h],MATCH(ConsumptionModel_1000P[[#This Row],[LookupValue]],Consumption[LookupValue],0))*IFERROR(INDEX(ResidentBuildings[Residents],MATCH(ConsumptionModel_1000P[[#This Row],[Building]],ResidentBuildings[Building],0)),0)</f>
        <v>72.000000000000014</v>
      </c>
      <c r="I47"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75</v>
      </c>
      <c r="J47" s="65">
        <f>IF(ConsumptionModel_1000P[[#This Row],[Quantity]]=0,"",IF(AND(ConsumptionModel_1000P[[#This Row],[Resource Demand]]=0,ConsumptionModel_1000P[[#This Row],[Resource Available]]&gt;0),1,MIN(1,IFERROR(ConsumptionModel_1000P[[#This Row],[Resource Available]]/ConsumptionModel_1000P[[#This Row],[Resource Demand]],0))))</f>
        <v>1</v>
      </c>
      <c r="K47"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47" s="197" t="s">
        <v>391</v>
      </c>
      <c r="P47" s="71">
        <f>SUMIFS(ResourceAvailable_1000P[Amount Produced],ResourceAvailable_1000P[Resource],ResourceMonitor_1000P[[#This Row],[Resource]])</f>
        <v>15</v>
      </c>
      <c r="Q47" s="71">
        <f>SUMIFS(ResourceAvailable_1000P[Amount Consumed],ResourceAvailable_1000P[Resource],ResourceMonitor_1000P[[#This Row],[Resource]])</f>
        <v>0</v>
      </c>
      <c r="R47" s="71">
        <f>SUMIFS(ResourceAvailable_1000P[Amount Available for Resident Consumption],ResourceAvailable_1000P[Resource],ResourceMonitor_1000P[[#This Row],[Resource]])</f>
        <v>15</v>
      </c>
      <c r="S47" s="39">
        <f>MAX(0,ResourceMonitor_1000P[[#This Row],[Amount Available for Resident Consumption]]-SUMIFS(ConsumptionModel_1000P[Resource Demand],ConsumptionModel_1000P[Resource],ResourceMonitor_1000P[[#This Row],[Resource]]))</f>
        <v>15</v>
      </c>
      <c r="T47" s="39">
        <f>MIN(0,ResourceMonitor_1000P[[#This Row],[Amount Available for Resident Consumption]]-SUMIFS(ConsumptionModel_1000P[Resource Demand],ConsumptionModel_1000P[Resource],ResourceMonitor_1000P[[#This Row],[Resource]]))</f>
        <v>0</v>
      </c>
      <c r="U47" s="122">
        <f>IFERROR(INDEX(#REF!,MATCH(ResourceMonitor_1000P[[#This Row],[Resource]],#REF!,0)),0)</f>
        <v>0</v>
      </c>
      <c r="V47" s="194">
        <f>IFERROR(ResourceMonitor_1000P[[#This Row],[Amount Produced]]/ResourceMonitor_1000P[[#This Row],[Production Target]],0)</f>
        <v>0</v>
      </c>
      <c r="W47" s="133"/>
      <c r="X47" s="47">
        <f>IF(ResourceMonitor_1000P[[#This Row],[Ignore shipping needs?]]="Yes",0,ROUNDUP(ResourceMonitor_1000P[[#This Row],[Production Target]]/INDEX(ShipRequirementCalculator[Cargo capacity/h (return, 50% empty)],MATCH($X$15,ShipRequirementCalculator[Ship],0)),0))</f>
        <v>0</v>
      </c>
      <c r="Y47" s="47">
        <f>IF(ResourceMonitor_1000P[[#This Row],[Ignore shipping needs?]]="Yes",0,ROUNDUP(ResourceMonitor_1000P[[#This Row],[Production Target]]/INDEX(ShipRequirementCalculator[Cargo capacity/h (return, 50% empty)],MATCH($Y$15,ShipRequirementCalculator[Ship],0)),0))</f>
        <v>0</v>
      </c>
      <c r="Z47" s="47">
        <f>IF(ResourceMonitor_1000P[[#This Row],[Ignore shipping needs?]]="Yes",0,ROUNDUP(ResourceMonitor_1000P[[#This Row],[Production Target]]/INDEX(ShipRequirementCalculator[Cargo capacity/h (return, 50% empty)],MATCH($Z$15,ShipRequirementCalculator[Ship],0)),0))</f>
        <v>0</v>
      </c>
      <c r="AA47" s="124"/>
      <c r="AC47" s="103" t="s">
        <v>137</v>
      </c>
      <c r="AD47" s="83">
        <f>ROW()</f>
        <v>47</v>
      </c>
      <c r="AE47" s="74"/>
      <c r="AF47" s="50" t="s">
        <v>99</v>
      </c>
      <c r="AG47" s="18"/>
      <c r="AH47" s="74"/>
      <c r="AI47" s="156">
        <f>IFERROR(IslandModel_1000P[[#This Row],[Quantity]]/IslandModel_1000P[[#This Row],[Target Quantity]],0)</f>
        <v>0</v>
      </c>
      <c r="AJ47" s="61" t="str">
        <f>IFERROR(INDEX(Production[Resource Produced],MATCH(IslandModel_1000P[[#This Row],[Building]],Production[Building],0)),"")</f>
        <v>Yarn</v>
      </c>
      <c r="AK47" s="99">
        <f>IFERROR(IslandModel_1000P[[#This Row],[Quantity]]*INDEX(Production[Production in 1h],MATCH(IslandModel_1000P[[#This Row],[Building]],Production[Building],0))*IslandModel_1000P[[#This Row],[Input Consumption Multiplier]],0)</f>
        <v>0</v>
      </c>
      <c r="AL47" s="115">
        <f>100%</f>
        <v>1</v>
      </c>
      <c r="AM47"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47" s="77" t="str">
        <f>IFERROR(INDEX(Production[Input 1],MATCH(IslandModel_1000P[[#This Row],[Building]],Production[Building],0)),"")</f>
        <v>Land tile</v>
      </c>
      <c r="AO47" s="78"/>
      <c r="AP47"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47"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2410.5</v>
      </c>
      <c r="AR47"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47" s="35" t="str">
        <f>IFERROR(INDEX(Production[Input 2],MATCH(IslandModel_1000P[[#This Row],[Building]],Production[Building],0)),"")</f>
        <v>Sheep Field</v>
      </c>
      <c r="AT47" s="78"/>
      <c r="AU47"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47"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47"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47" s="35">
        <f>IFERROR(INDEX(Production[Input 3],MATCH(IslandModel_1000P[[#This Row],[Building]],Production[Building],0)),"")</f>
        <v>0</v>
      </c>
      <c r="AY47" s="78"/>
      <c r="AZ47"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47"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47"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47" s="35">
        <f>IFERROR(INDEX(Production[Input 4],MATCH(IslandModel_1000P[[#This Row],[Building]],Production[Building],0)),"")</f>
        <v>0</v>
      </c>
      <c r="BD47" s="78"/>
      <c r="BE47"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47"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47"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47" s="35">
        <f>IFERROR(INDEX(Production[Input 5],MATCH(IslandModel_1000P[[#This Row],[Building]],Production[Building],0)),"")</f>
        <v>0</v>
      </c>
      <c r="BI47" s="78"/>
      <c r="BJ47"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47"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47"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47" s="35">
        <f>IFERROR(INDEX(Production[Input 6],MATCH(IslandModel_1000P[[#This Row],[Building]],Production[Building],0)),"")</f>
        <v>0</v>
      </c>
      <c r="BN47" s="78"/>
      <c r="BO47"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47"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47"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47" s="35">
        <f>IFERROR(INDEX(Production[Input 7],MATCH(IslandModel_1000P[[#This Row],[Building]],Production[Building],0)),"")</f>
        <v>0</v>
      </c>
      <c r="BS47" s="78"/>
      <c r="BT47"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47"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47"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47" s="35">
        <f>IFERROR(INDEX(Production[Input 8],MATCH(IslandModel_1000P[[#This Row],[Building]],Production[Building],0)),"")</f>
        <v>0</v>
      </c>
      <c r="BX47" s="78"/>
      <c r="BY47"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47"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47"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47" s="35">
        <f>IFERROR(INDEX(Production[Input 9],MATCH(IslandModel_1000P[[#This Row],[Building]],Production[Building],0)),"")</f>
        <v>0</v>
      </c>
      <c r="CC47" s="78"/>
      <c r="CD47"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47"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47"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47" s="35">
        <f>IFERROR(INDEX(Production[Input 10],MATCH(IslandModel_1000P[[#This Row],[Building]],Production[Building],0)),"")</f>
        <v>0</v>
      </c>
      <c r="CH47" s="78"/>
      <c r="CI47"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47"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47"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47"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47" s="82" t="str">
        <f>IslandModel_1000P[[#This Row],[Resource Produced]]</f>
        <v>Yarn</v>
      </c>
      <c r="CN47" s="42">
        <f>IslandModel_1000P[[#This Row],[Amount produced/h]]</f>
        <v>0</v>
      </c>
      <c r="CO47" s="42" t="str">
        <f>IslandModel_1000P[[#This Row],[Input 1]]</f>
        <v>Land tile</v>
      </c>
      <c r="CP47" s="42">
        <f>-IslandModel_1000P[[#This Row],[Input 1 Consumed]]</f>
        <v>0</v>
      </c>
      <c r="CQ47" s="42" t="str">
        <f>IslandModel_1000P[[#This Row],[Input 2]]</f>
        <v>Sheep Field</v>
      </c>
      <c r="CR47" s="42">
        <f>-IslandModel_1000P[[#This Row],[Input 2 Consumed]]</f>
        <v>0</v>
      </c>
      <c r="CS47" s="42">
        <f>IslandModel_1000P[[#This Row],[Input 3]]</f>
        <v>0</v>
      </c>
      <c r="CT47" s="42">
        <f>-IslandModel_1000P[[#This Row],[Input 3 Consumed]]</f>
        <v>0</v>
      </c>
      <c r="CU47" s="42">
        <f>IslandModel_1000P[[#This Row],[Input 4]]</f>
        <v>0</v>
      </c>
      <c r="CV47" s="42">
        <f>-IslandModel_1000P[[#This Row],[Input 4 Consumed]]</f>
        <v>0</v>
      </c>
      <c r="CW47" s="42">
        <f>IslandModel_1000P[[#This Row],[Input 5]]</f>
        <v>0</v>
      </c>
      <c r="CX47" s="42">
        <f>-IslandModel_1000P[[#This Row],[Input 5 Consumed]]</f>
        <v>0</v>
      </c>
      <c r="CY47" s="42">
        <f>IslandModel_1000P[[#This Row],[Input 6]]</f>
        <v>0</v>
      </c>
      <c r="CZ47" s="42">
        <f>-IslandModel_1000P[[#This Row],[Input 6 Consumed]]</f>
        <v>0</v>
      </c>
      <c r="DA47" s="42">
        <f>IslandModel_1000P[[#This Row],[Input 7]]</f>
        <v>0</v>
      </c>
      <c r="DB47" s="42">
        <f>-IslandModel_1000P[[#This Row],[Input 7 Consumed]]</f>
        <v>0</v>
      </c>
      <c r="DC47" s="42">
        <f>IslandModel_1000P[[#This Row],[Input 8]]</f>
        <v>0</v>
      </c>
      <c r="DD47" s="42">
        <f>-IslandModel_1000P[[#This Row],[Input 8 Consumed]]</f>
        <v>0</v>
      </c>
      <c r="DE47" s="42">
        <f>IslandModel_1000P[[#This Row],[Input 9]]</f>
        <v>0</v>
      </c>
      <c r="DF47" s="42">
        <f>-IslandModel_1000P[[#This Row],[Input 9 Consumed]]</f>
        <v>0</v>
      </c>
      <c r="DG47" s="42">
        <f>IslandModel_1000P[[#This Row],[Input 10]]</f>
        <v>0</v>
      </c>
      <c r="DH47" s="42">
        <f>-IslandModel_1000P[[#This Row],[Input 10 Consumed]]</f>
        <v>0</v>
      </c>
      <c r="DJ47" s="55" t="s">
        <v>95</v>
      </c>
      <c r="DK47" s="39">
        <f>SUM(SUMIFS(IslandModel_1000P[Resource 1 Qty],IslandModel_1000P[Resource 1],ResourceAvailable_1000P[[#This Row],[Resource]]))</f>
        <v>0</v>
      </c>
      <c r="DL47"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47" s="39">
        <f>ResourceAvailable_1000P[[#This Row],[Amount Produced]]-ResourceAvailable_1000P[[#This Row],[Amount Consumed]]</f>
        <v>0</v>
      </c>
      <c r="DN47" s="20">
        <f>MAX(0,ResourceAvailable_1000P[[#This Row],[Amount Available for Resident Consumption]]-SUMIFS(ConsumptionModel_1000P[Resource Demand],ConsumptionModel_1000P[Resource],ResourceAvailable_1000P[[#This Row],[Resource]]))</f>
        <v>0</v>
      </c>
    </row>
    <row r="48" spans="2:118" ht="21" x14ac:dyDescent="0.65">
      <c r="B48" s="178">
        <f>ROW()</f>
        <v>48</v>
      </c>
      <c r="C48" s="70">
        <f>INDEX(ConsumptionModelInputs_1000P[Quantity],MATCH(ConsumptionModel_1000P[[#This Row],[Building]],ConsumptionModelInputs_1000P[Building],0))</f>
        <v>12</v>
      </c>
      <c r="D48" s="179" t="s">
        <v>58</v>
      </c>
      <c r="E48" s="179" t="s">
        <v>137</v>
      </c>
      <c r="F48" s="64" t="str">
        <f>IF(OR(ISBLANK(ConsumptionModel_1000P[[#This Row],[Building]]),ISBLANK(ConsumptionModel_1000P[[#This Row],[Resource]]))," - ",INDEX(Consumption[Type],MATCH(ConsumptionModel_1000P[[#This Row],[LookupValue]],Consumption[LookupValue],0)))</f>
        <v>Luxury</v>
      </c>
      <c r="G48" s="61" t="str">
        <f>IF(OR(ISBLANK(ConsumptionModel_1000P[[#This Row],[Building]]),ISBLANK(ConsumptionModel_1000P[[#This Row],[Resource]]))," - ",ConsumptionModel_1000P[[#This Row],[Building]]&amp;" - "&amp;ConsumptionModel_1000P[[#This Row],[Resource]])</f>
        <v>Merchant's Mansion - Clothes</v>
      </c>
      <c r="H48" s="62">
        <f>ConsumptionModel_1000P[[#This Row],[Quantity]]*INDEX(Consumption[Consumption/person/h],MATCH(ConsumptionModel_1000P[[#This Row],[LookupValue]],Consumption[LookupValue],0))*IFERROR(INDEX(ResidentBuildings[Residents],MATCH(ConsumptionModel_1000P[[#This Row],[Building]],ResidentBuildings[Building],0)),0)</f>
        <v>36.000000000000007</v>
      </c>
      <c r="I48"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165</v>
      </c>
      <c r="J48" s="65">
        <f>IF(ConsumptionModel_1000P[[#This Row],[Quantity]]=0,"",IF(AND(ConsumptionModel_1000P[[#This Row],[Resource Demand]]=0,ConsumptionModel_1000P[[#This Row],[Resource Available]]&gt;0),1,MIN(1,IFERROR(ConsumptionModel_1000P[[#This Row],[Resource Available]]/ConsumptionModel_1000P[[#This Row],[Resource Demand]],0))))</f>
        <v>1</v>
      </c>
      <c r="K48"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120.00000000000001</v>
      </c>
      <c r="O48" s="197" t="s">
        <v>87</v>
      </c>
      <c r="P48" s="71">
        <f>SUMIFS(ResourceAvailable_1000P[Amount Produced],ResourceAvailable_1000P[Resource],ResourceMonitor_1000P[[#This Row],[Resource]])</f>
        <v>15</v>
      </c>
      <c r="Q48" s="71">
        <f>SUMIFS(ResourceAvailable_1000P[Amount Consumed],ResourceAvailable_1000P[Resource],ResourceMonitor_1000P[[#This Row],[Resource]])</f>
        <v>0</v>
      </c>
      <c r="R48" s="71">
        <f>SUMIFS(ResourceAvailable_1000P[Amount Available for Resident Consumption],ResourceAvailable_1000P[Resource],ResourceMonitor_1000P[[#This Row],[Resource]])</f>
        <v>15</v>
      </c>
      <c r="S48" s="39">
        <f>MAX(0,ResourceMonitor_1000P[[#This Row],[Amount Available for Resident Consumption]]-SUMIFS(ConsumptionModel_1000P[Resource Demand],ConsumptionModel_1000P[Resource],ResourceMonitor_1000P[[#This Row],[Resource]]))</f>
        <v>15</v>
      </c>
      <c r="T48" s="39">
        <f>MIN(0,ResourceMonitor_1000P[[#This Row],[Amount Available for Resident Consumption]]-SUMIFS(ConsumptionModel_1000P[Resource Demand],ConsumptionModel_1000P[Resource],ResourceMonitor_1000P[[#This Row],[Resource]]))</f>
        <v>0</v>
      </c>
      <c r="U48" s="122">
        <f>IFERROR(INDEX(#REF!,MATCH(ResourceMonitor_1000P[[#This Row],[Resource]],#REF!,0)),0)</f>
        <v>0</v>
      </c>
      <c r="V48" s="194">
        <f>IFERROR(ResourceMonitor_1000P[[#This Row],[Amount Produced]]/ResourceMonitor_1000P[[#This Row],[Production Target]],0)</f>
        <v>0</v>
      </c>
      <c r="W48" s="133"/>
      <c r="X48" s="47">
        <f>IF(ResourceMonitor_1000P[[#This Row],[Ignore shipping needs?]]="Yes",0,ROUNDUP(ResourceMonitor_1000P[[#This Row],[Production Target]]/INDEX(ShipRequirementCalculator[Cargo capacity/h (return, 50% empty)],MATCH($X$15,ShipRequirementCalculator[Ship],0)),0))</f>
        <v>0</v>
      </c>
      <c r="Y48" s="47">
        <f>IF(ResourceMonitor_1000P[[#This Row],[Ignore shipping needs?]]="Yes",0,ROUNDUP(ResourceMonitor_1000P[[#This Row],[Production Target]]/INDEX(ShipRequirementCalculator[Cargo capacity/h (return, 50% empty)],MATCH($Y$15,ShipRequirementCalculator[Ship],0)),0))</f>
        <v>0</v>
      </c>
      <c r="Z48" s="47">
        <f>IF(ResourceMonitor_1000P[[#This Row],[Ignore shipping needs?]]="Yes",0,ROUNDUP(ResourceMonitor_1000P[[#This Row],[Production Target]]/INDEX(ShipRequirementCalculator[Cargo capacity/h (return, 50% empty)],MATCH($Z$15,ShipRequirementCalculator[Ship],0)),0))</f>
        <v>0</v>
      </c>
      <c r="AA48" s="124"/>
      <c r="AC48" s="103" t="s">
        <v>137</v>
      </c>
      <c r="AD48" s="83">
        <f>ROW()</f>
        <v>48</v>
      </c>
      <c r="AE48" s="198">
        <f>AE49*8</f>
        <v>176</v>
      </c>
      <c r="AF48" s="50" t="s">
        <v>132</v>
      </c>
      <c r="AG48" s="18"/>
      <c r="AH48" s="198">
        <f>AH49*8</f>
        <v>176</v>
      </c>
      <c r="AI48" s="156">
        <f>IFERROR(IslandModel_1000P[[#This Row],[Quantity]]/IslandModel_1000P[[#This Row],[Target Quantity]],0)</f>
        <v>1</v>
      </c>
      <c r="AJ48" s="61" t="str">
        <f>IFERROR(INDEX(Production[Resource Produced],MATCH(IslandModel_1000P[[#This Row],[Building]],Production[Building],0)),"")</f>
        <v>Cotton Field</v>
      </c>
      <c r="AK48" s="99">
        <f>IFERROR(IslandModel_1000P[[#This Row],[Quantity]]*INDEX(Production[Production in 1h],MATCH(IslandModel_1000P[[#This Row],[Building]],Production[Building],0))*IslandModel_1000P[[#This Row],[Input Consumption Multiplier]],0)</f>
        <v>176</v>
      </c>
      <c r="AL48" s="115">
        <f>100%</f>
        <v>1</v>
      </c>
      <c r="AM48"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48" s="77" t="str">
        <f>IFERROR(INDEX(Production[Input 1],MATCH(IslandModel_1000P[[#This Row],[Building]],Production[Building],0)),"")</f>
        <v>Land tile</v>
      </c>
      <c r="AO48" s="78"/>
      <c r="AP48"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176</v>
      </c>
      <c r="AQ48"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2410.5</v>
      </c>
      <c r="AR48"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176</v>
      </c>
      <c r="AS48" s="35">
        <f>IFERROR(INDEX(Production[Input 2],MATCH(IslandModel_1000P[[#This Row],[Building]],Production[Building],0)),"")</f>
        <v>0</v>
      </c>
      <c r="AT48" s="78"/>
      <c r="AU48"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48"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48"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48" s="35">
        <f>IFERROR(INDEX(Production[Input 3],MATCH(IslandModel_1000P[[#This Row],[Building]],Production[Building],0)),"")</f>
        <v>0</v>
      </c>
      <c r="AY48" s="78"/>
      <c r="AZ48"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48"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48"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48" s="35">
        <f>IFERROR(INDEX(Production[Input 4],MATCH(IslandModel_1000P[[#This Row],[Building]],Production[Building],0)),"")</f>
        <v>0</v>
      </c>
      <c r="BD48" s="78"/>
      <c r="BE48"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48"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48"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48" s="35">
        <f>IFERROR(INDEX(Production[Input 5],MATCH(IslandModel_1000P[[#This Row],[Building]],Production[Building],0)),"")</f>
        <v>0</v>
      </c>
      <c r="BI48" s="78"/>
      <c r="BJ48"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48"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48"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48" s="35">
        <f>IFERROR(INDEX(Production[Input 6],MATCH(IslandModel_1000P[[#This Row],[Building]],Production[Building],0)),"")</f>
        <v>0</v>
      </c>
      <c r="BN48" s="78"/>
      <c r="BO48"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48"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48"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48" s="35">
        <f>IFERROR(INDEX(Production[Input 7],MATCH(IslandModel_1000P[[#This Row],[Building]],Production[Building],0)),"")</f>
        <v>0</v>
      </c>
      <c r="BS48" s="78"/>
      <c r="BT48"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48"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48"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48" s="35">
        <f>IFERROR(INDEX(Production[Input 8],MATCH(IslandModel_1000P[[#This Row],[Building]],Production[Building],0)),"")</f>
        <v>0</v>
      </c>
      <c r="BX48" s="78"/>
      <c r="BY48"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48"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48"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48" s="35">
        <f>IFERROR(INDEX(Production[Input 9],MATCH(IslandModel_1000P[[#This Row],[Building]],Production[Building],0)),"")</f>
        <v>0</v>
      </c>
      <c r="CC48" s="78"/>
      <c r="CD48"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48"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48"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48" s="35">
        <f>IFERROR(INDEX(Production[Input 10],MATCH(IslandModel_1000P[[#This Row],[Building]],Production[Building],0)),"")</f>
        <v>0</v>
      </c>
      <c r="CH48" s="78"/>
      <c r="CI48"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48"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48"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48"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48" s="82" t="str">
        <f>IslandModel_1000P[[#This Row],[Resource Produced]]</f>
        <v>Cotton Field</v>
      </c>
      <c r="CN48" s="42">
        <f>IslandModel_1000P[[#This Row],[Amount produced/h]]</f>
        <v>176</v>
      </c>
      <c r="CO48" s="42" t="str">
        <f>IslandModel_1000P[[#This Row],[Input 1]]</f>
        <v>Land tile</v>
      </c>
      <c r="CP48" s="42">
        <f>-IslandModel_1000P[[#This Row],[Input 1 Consumed]]</f>
        <v>-176</v>
      </c>
      <c r="CQ48" s="42">
        <f>IslandModel_1000P[[#This Row],[Input 2]]</f>
        <v>0</v>
      </c>
      <c r="CR48" s="42">
        <f>-IslandModel_1000P[[#This Row],[Input 2 Consumed]]</f>
        <v>0</v>
      </c>
      <c r="CS48" s="42">
        <f>IslandModel_1000P[[#This Row],[Input 3]]</f>
        <v>0</v>
      </c>
      <c r="CT48" s="42">
        <f>-IslandModel_1000P[[#This Row],[Input 3 Consumed]]</f>
        <v>0</v>
      </c>
      <c r="CU48" s="42">
        <f>IslandModel_1000P[[#This Row],[Input 4]]</f>
        <v>0</v>
      </c>
      <c r="CV48" s="42">
        <f>-IslandModel_1000P[[#This Row],[Input 4 Consumed]]</f>
        <v>0</v>
      </c>
      <c r="CW48" s="42">
        <f>IslandModel_1000P[[#This Row],[Input 5]]</f>
        <v>0</v>
      </c>
      <c r="CX48" s="42">
        <f>-IslandModel_1000P[[#This Row],[Input 5 Consumed]]</f>
        <v>0</v>
      </c>
      <c r="CY48" s="42">
        <f>IslandModel_1000P[[#This Row],[Input 6]]</f>
        <v>0</v>
      </c>
      <c r="CZ48" s="42">
        <f>-IslandModel_1000P[[#This Row],[Input 6 Consumed]]</f>
        <v>0</v>
      </c>
      <c r="DA48" s="42">
        <f>IslandModel_1000P[[#This Row],[Input 7]]</f>
        <v>0</v>
      </c>
      <c r="DB48" s="42">
        <f>-IslandModel_1000P[[#This Row],[Input 7 Consumed]]</f>
        <v>0</v>
      </c>
      <c r="DC48" s="42">
        <f>IslandModel_1000P[[#This Row],[Input 8]]</f>
        <v>0</v>
      </c>
      <c r="DD48" s="42">
        <f>-IslandModel_1000P[[#This Row],[Input 8 Consumed]]</f>
        <v>0</v>
      </c>
      <c r="DE48" s="42">
        <f>IslandModel_1000P[[#This Row],[Input 9]]</f>
        <v>0</v>
      </c>
      <c r="DF48" s="42">
        <f>-IslandModel_1000P[[#This Row],[Input 9 Consumed]]</f>
        <v>0</v>
      </c>
      <c r="DG48" s="42">
        <f>IslandModel_1000P[[#This Row],[Input 10]]</f>
        <v>0</v>
      </c>
      <c r="DH48" s="42">
        <f>-IslandModel_1000P[[#This Row],[Input 10 Consumed]]</f>
        <v>0</v>
      </c>
      <c r="DJ48" t="s">
        <v>175</v>
      </c>
      <c r="DK48" s="39">
        <f>SUM(SUMIFS(IslandModel_1000P[Resource 1 Qty],IslandModel_1000P[Resource 1],ResourceAvailable_1000P[[#This Row],[Resource]]))</f>
        <v>0</v>
      </c>
      <c r="DL48"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48" s="39">
        <f>ResourceAvailable_1000P[[#This Row],[Amount Produced]]-ResourceAvailable_1000P[[#This Row],[Amount Consumed]]</f>
        <v>0</v>
      </c>
      <c r="DN48" s="20">
        <f>MAX(0,ResourceAvailable_1000P[[#This Row],[Amount Available for Resident Consumption]]-SUMIFS(ConsumptionModel_1000P[Resource Demand],ConsumptionModel_1000P[Resource],ResourceAvailable_1000P[[#This Row],[Resource]]))</f>
        <v>0</v>
      </c>
    </row>
    <row r="49" spans="2:118" ht="21" x14ac:dyDescent="0.65">
      <c r="B49" s="178">
        <f>ROW()</f>
        <v>49</v>
      </c>
      <c r="C49" s="70">
        <f>INDEX(ConsumptionModelInputs_1000P[Quantity],MATCH(ConsumptionModel_1000P[[#This Row],[Building]],ConsumptionModelInputs_1000P[Building],0))</f>
        <v>12</v>
      </c>
      <c r="D49" s="179" t="s">
        <v>58</v>
      </c>
      <c r="E49" s="179" t="s">
        <v>146</v>
      </c>
      <c r="F49" s="64" t="str">
        <f>IF(OR(ISBLANK(ConsumptionModel_1000P[[#This Row],[Building]]),ISBLANK(ConsumptionModel_1000P[[#This Row],[Resource]]))," - ",INDEX(Consumption[Type],MATCH(ConsumptionModel_1000P[[#This Row],[LookupValue]],Consumption[LookupValue],0)))</f>
        <v>Luxury</v>
      </c>
      <c r="G49" s="61" t="str">
        <f>IF(OR(ISBLANK(ConsumptionModel_1000P[[#This Row],[Building]]),ISBLANK(ConsumptionModel_1000P[[#This Row],[Resource]]))," - ",ConsumptionModel_1000P[[#This Row],[Building]]&amp;" - "&amp;ConsumptionModel_1000P[[#This Row],[Resource]])</f>
        <v>Merchant's Mansion - Beer</v>
      </c>
      <c r="H49" s="62">
        <f>ConsumptionModel_1000P[[#This Row],[Quantity]]*INDEX(Consumption[Consumption/person/h],MATCH(ConsumptionModel_1000P[[#This Row],[LookupValue]],Consumption[LookupValue],0))*IFERROR(INDEX(ResidentBuildings[Residents],MATCH(ConsumptionModel_1000P[[#This Row],[Building]],ResidentBuildings[Building],0)),0)</f>
        <v>72.000000000000014</v>
      </c>
      <c r="I49"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320</v>
      </c>
      <c r="J49" s="65">
        <f>IF(ConsumptionModel_1000P[[#This Row],[Quantity]]=0,"",IF(AND(ConsumptionModel_1000P[[#This Row],[Resource Demand]]=0,ConsumptionModel_1000P[[#This Row],[Resource Available]]&gt;0),1,MIN(1,IFERROR(ConsumptionModel_1000P[[#This Row],[Resource Available]]/ConsumptionModel_1000P[[#This Row],[Resource Demand]],0))))</f>
        <v>1</v>
      </c>
      <c r="K49"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120.00000000000001</v>
      </c>
      <c r="O49" s="197"/>
      <c r="P49" s="71">
        <f>SUMIFS(ResourceAvailable_1000P[Amount Produced],ResourceAvailable_1000P[Resource],ResourceMonitor_1000P[[#This Row],[Resource]])</f>
        <v>0</v>
      </c>
      <c r="Q49" s="71">
        <f>SUMIFS(ResourceAvailable_1000P[Amount Consumed],ResourceAvailable_1000P[Resource],ResourceMonitor_1000P[[#This Row],[Resource]])</f>
        <v>0</v>
      </c>
      <c r="R49" s="71">
        <f>SUMIFS(ResourceAvailable_1000P[Amount Available for Resident Consumption],ResourceAvailable_1000P[Resource],ResourceMonitor_1000P[[#This Row],[Resource]])</f>
        <v>0</v>
      </c>
      <c r="S49" s="39">
        <f>MAX(0,ResourceMonitor_1000P[[#This Row],[Amount Available for Resident Consumption]]-SUMIFS(ConsumptionModel_1000P[Resource Demand],ConsumptionModel_1000P[Resource],ResourceMonitor_1000P[[#This Row],[Resource]]))</f>
        <v>0</v>
      </c>
      <c r="T49" s="39">
        <f>MIN(0,ResourceMonitor_1000P[[#This Row],[Amount Available for Resident Consumption]]-SUMIFS(ConsumptionModel_1000P[Resource Demand],ConsumptionModel_1000P[Resource],ResourceMonitor_1000P[[#This Row],[Resource]]))</f>
        <v>0</v>
      </c>
      <c r="U49" s="122">
        <f>IFERROR(INDEX(#REF!,MATCH(ResourceMonitor_1000P[[#This Row],[Resource]],#REF!,0)),0)</f>
        <v>0</v>
      </c>
      <c r="V49" s="194">
        <f>IFERROR(ResourceMonitor_1000P[[#This Row],[Amount Produced]]/ResourceMonitor_1000P[[#This Row],[Production Target]],0)</f>
        <v>0</v>
      </c>
      <c r="W49" s="133"/>
      <c r="X49" s="47">
        <f>IF(ResourceMonitor_1000P[[#This Row],[Ignore shipping needs?]]="Yes",0,ROUNDUP(ResourceMonitor_1000P[[#This Row],[Production Target]]/INDEX(ShipRequirementCalculator[Cargo capacity/h (return, 50% empty)],MATCH($X$15,ShipRequirementCalculator[Ship],0)),0))</f>
        <v>0</v>
      </c>
      <c r="Y49" s="47">
        <f>IF(ResourceMonitor_1000P[[#This Row],[Ignore shipping needs?]]="Yes",0,ROUNDUP(ResourceMonitor_1000P[[#This Row],[Production Target]]/INDEX(ShipRequirementCalculator[Cargo capacity/h (return, 50% empty)],MATCH($Y$15,ShipRequirementCalculator[Ship],0)),0))</f>
        <v>0</v>
      </c>
      <c r="Z49" s="47">
        <f>IF(ResourceMonitor_1000P[[#This Row],[Ignore shipping needs?]]="Yes",0,ROUNDUP(ResourceMonitor_1000P[[#This Row],[Production Target]]/INDEX(ShipRequirementCalculator[Cargo capacity/h (return, 50% empty)],MATCH($Z$15,ShipRequirementCalculator[Ship],0)),0))</f>
        <v>0</v>
      </c>
      <c r="AA49" s="124"/>
      <c r="AC49" s="103" t="s">
        <v>137</v>
      </c>
      <c r="AD49" s="83">
        <f>ROW()</f>
        <v>49</v>
      </c>
      <c r="AE49" s="74">
        <v>22</v>
      </c>
      <c r="AF49" s="50" t="s">
        <v>133</v>
      </c>
      <c r="AG49" s="18"/>
      <c r="AH49" s="74">
        <v>22</v>
      </c>
      <c r="AI49" s="156">
        <f>IFERROR(IslandModel_1000P[[#This Row],[Quantity]]/IslandModel_1000P[[#This Row],[Target Quantity]],0)</f>
        <v>1</v>
      </c>
      <c r="AJ49" s="61" t="str">
        <f>IFERROR(INDEX(Production[Resource Produced],MATCH(IslandModel_1000P[[#This Row],[Building]],Production[Building],0)),"")</f>
        <v>Yarn</v>
      </c>
      <c r="AK49" s="99">
        <f>IFERROR(IslandModel_1000P[[#This Row],[Quantity]]*INDEX(Production[Production in 1h],MATCH(IslandModel_1000P[[#This Row],[Building]],Production[Building],0))*IslandModel_1000P[[#This Row],[Input Consumption Multiplier]],0)</f>
        <v>1320</v>
      </c>
      <c r="AL49" s="115">
        <f>100%</f>
        <v>1</v>
      </c>
      <c r="AM49"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49" s="77" t="str">
        <f>IFERROR(INDEX(Production[Input 1],MATCH(IslandModel_1000P[[#This Row],[Building]],Production[Building],0)),"")</f>
        <v>Land tile</v>
      </c>
      <c r="AO49" s="78"/>
      <c r="AP49"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22</v>
      </c>
      <c r="AQ49"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2234.5</v>
      </c>
      <c r="AR49"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22</v>
      </c>
      <c r="AS49" s="35" t="str">
        <f>IFERROR(INDEX(Production[Input 2],MATCH(IslandModel_1000P[[#This Row],[Building]],Production[Building],0)),"")</f>
        <v>Cotton Field</v>
      </c>
      <c r="AT49" s="78"/>
      <c r="AU49"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176</v>
      </c>
      <c r="AV49"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176</v>
      </c>
      <c r="AW49"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176</v>
      </c>
      <c r="AX49" s="35">
        <f>IFERROR(INDEX(Production[Input 3],MATCH(IslandModel_1000P[[#This Row],[Building]],Production[Building],0)),"")</f>
        <v>0</v>
      </c>
      <c r="AY49" s="78"/>
      <c r="AZ49"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49"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49"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49" s="35">
        <f>IFERROR(INDEX(Production[Input 4],MATCH(IslandModel_1000P[[#This Row],[Building]],Production[Building],0)),"")</f>
        <v>0</v>
      </c>
      <c r="BD49" s="78"/>
      <c r="BE49"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49"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49"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49" s="35">
        <f>IFERROR(INDEX(Production[Input 5],MATCH(IslandModel_1000P[[#This Row],[Building]],Production[Building],0)),"")</f>
        <v>0</v>
      </c>
      <c r="BI49" s="78"/>
      <c r="BJ49"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49"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49"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49" s="35">
        <f>IFERROR(INDEX(Production[Input 6],MATCH(IslandModel_1000P[[#This Row],[Building]],Production[Building],0)),"")</f>
        <v>0</v>
      </c>
      <c r="BN49" s="78"/>
      <c r="BO49"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49"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49"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49" s="35">
        <f>IFERROR(INDEX(Production[Input 7],MATCH(IslandModel_1000P[[#This Row],[Building]],Production[Building],0)),"")</f>
        <v>0</v>
      </c>
      <c r="BS49" s="78"/>
      <c r="BT49"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49"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49"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49" s="35">
        <f>IFERROR(INDEX(Production[Input 8],MATCH(IslandModel_1000P[[#This Row],[Building]],Production[Building],0)),"")</f>
        <v>0</v>
      </c>
      <c r="BX49" s="78"/>
      <c r="BY49"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49"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49"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49" s="35">
        <f>IFERROR(INDEX(Production[Input 9],MATCH(IslandModel_1000P[[#This Row],[Building]],Production[Building],0)),"")</f>
        <v>0</v>
      </c>
      <c r="CC49" s="78"/>
      <c r="CD49"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49"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49"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49" s="35">
        <f>IFERROR(INDEX(Production[Input 10],MATCH(IslandModel_1000P[[#This Row],[Building]],Production[Building],0)),"")</f>
        <v>0</v>
      </c>
      <c r="CH49" s="78"/>
      <c r="CI49"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49"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49"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49"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49" s="82" t="str">
        <f>IslandModel_1000P[[#This Row],[Resource Produced]]</f>
        <v>Yarn</v>
      </c>
      <c r="CN49" s="42">
        <f>IslandModel_1000P[[#This Row],[Amount produced/h]]</f>
        <v>1320</v>
      </c>
      <c r="CO49" s="42" t="str">
        <f>IslandModel_1000P[[#This Row],[Input 1]]</f>
        <v>Land tile</v>
      </c>
      <c r="CP49" s="42">
        <f>-IslandModel_1000P[[#This Row],[Input 1 Consumed]]</f>
        <v>-22</v>
      </c>
      <c r="CQ49" s="42" t="str">
        <f>IslandModel_1000P[[#This Row],[Input 2]]</f>
        <v>Cotton Field</v>
      </c>
      <c r="CR49" s="42">
        <f>-IslandModel_1000P[[#This Row],[Input 2 Consumed]]</f>
        <v>-176</v>
      </c>
      <c r="CS49" s="42">
        <f>IslandModel_1000P[[#This Row],[Input 3]]</f>
        <v>0</v>
      </c>
      <c r="CT49" s="42">
        <f>-IslandModel_1000P[[#This Row],[Input 3 Consumed]]</f>
        <v>0</v>
      </c>
      <c r="CU49" s="42">
        <f>IslandModel_1000P[[#This Row],[Input 4]]</f>
        <v>0</v>
      </c>
      <c r="CV49" s="42">
        <f>-IslandModel_1000P[[#This Row],[Input 4 Consumed]]</f>
        <v>0</v>
      </c>
      <c r="CW49" s="42">
        <f>IslandModel_1000P[[#This Row],[Input 5]]</f>
        <v>0</v>
      </c>
      <c r="CX49" s="42">
        <f>-IslandModel_1000P[[#This Row],[Input 5 Consumed]]</f>
        <v>0</v>
      </c>
      <c r="CY49" s="42">
        <f>IslandModel_1000P[[#This Row],[Input 6]]</f>
        <v>0</v>
      </c>
      <c r="CZ49" s="42">
        <f>-IslandModel_1000P[[#This Row],[Input 6 Consumed]]</f>
        <v>0</v>
      </c>
      <c r="DA49" s="42">
        <f>IslandModel_1000P[[#This Row],[Input 7]]</f>
        <v>0</v>
      </c>
      <c r="DB49" s="42">
        <f>-IslandModel_1000P[[#This Row],[Input 7 Consumed]]</f>
        <v>0</v>
      </c>
      <c r="DC49" s="42">
        <f>IslandModel_1000P[[#This Row],[Input 8]]</f>
        <v>0</v>
      </c>
      <c r="DD49" s="42">
        <f>-IslandModel_1000P[[#This Row],[Input 8 Consumed]]</f>
        <v>0</v>
      </c>
      <c r="DE49" s="42">
        <f>IslandModel_1000P[[#This Row],[Input 9]]</f>
        <v>0</v>
      </c>
      <c r="DF49" s="42">
        <f>-IslandModel_1000P[[#This Row],[Input 9 Consumed]]</f>
        <v>0</v>
      </c>
      <c r="DG49" s="42">
        <f>IslandModel_1000P[[#This Row],[Input 10]]</f>
        <v>0</v>
      </c>
      <c r="DH49" s="42">
        <f>-IslandModel_1000P[[#This Row],[Input 10 Consumed]]</f>
        <v>0</v>
      </c>
      <c r="DJ49" s="55" t="s">
        <v>18</v>
      </c>
      <c r="DK49" s="39">
        <f>SUM(SUMIFS(IslandModel_1000P[Resource 1 Qty],IslandModel_1000P[Resource 1],ResourceAvailable_1000P[[#This Row],[Resource]]))</f>
        <v>0</v>
      </c>
      <c r="DL49"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49" s="39">
        <f>ResourceAvailable_1000P[[#This Row],[Amount Produced]]-ResourceAvailable_1000P[[#This Row],[Amount Consumed]]</f>
        <v>0</v>
      </c>
      <c r="DN49" s="20">
        <f>MAX(0,ResourceAvailable_1000P[[#This Row],[Amount Available for Resident Consumption]]-SUMIFS(ConsumptionModel_1000P[Resource Demand],ConsumptionModel_1000P[Resource],ResourceAvailable_1000P[[#This Row],[Resource]]))</f>
        <v>0</v>
      </c>
    </row>
    <row r="50" spans="2:118" ht="21" x14ac:dyDescent="0.65">
      <c r="B50" s="178">
        <f>ROW()</f>
        <v>50</v>
      </c>
      <c r="C50" s="70">
        <f>INDEX(ConsumptionModelInputs_1000P[Quantity],MATCH(ConsumptionModel_1000P[[#This Row],[Building]],ConsumptionModelInputs_1000P[Building],0))</f>
        <v>12</v>
      </c>
      <c r="D50" s="179" t="s">
        <v>58</v>
      </c>
      <c r="E50" s="179" t="s">
        <v>167</v>
      </c>
      <c r="F50" s="64" t="str">
        <f>IF(OR(ISBLANK(ConsumptionModel_1000P[[#This Row],[Building]]),ISBLANK(ConsumptionModel_1000P[[#This Row],[Resource]]))," - ",INDEX(Consumption[Type],MATCH(ConsumptionModel_1000P[[#This Row],[LookupValue]],Consumption[LookupValue],0)))</f>
        <v>Luxury</v>
      </c>
      <c r="G50" s="61" t="str">
        <f>IF(OR(ISBLANK(ConsumptionModel_1000P[[#This Row],[Building]]),ISBLANK(ConsumptionModel_1000P[[#This Row],[Resource]]))," - ",ConsumptionModel_1000P[[#This Row],[Building]]&amp;" - "&amp;ConsumptionModel_1000P[[#This Row],[Resource]])</f>
        <v>Merchant's Mansion - Meat</v>
      </c>
      <c r="H50" s="62">
        <f>ConsumptionModel_1000P[[#This Row],[Quantity]]*INDEX(Consumption[Consumption/person/h],MATCH(ConsumptionModel_1000P[[#This Row],[LookupValue]],Consumption[LookupValue],0))*IFERROR(INDEX(ResidentBuildings[Residents],MATCH(ConsumptionModel_1000P[[#This Row],[Building]],ResidentBuildings[Building],0)),0)</f>
        <v>144.00000000000003</v>
      </c>
      <c r="I50"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660</v>
      </c>
      <c r="J50" s="65">
        <f>IF(ConsumptionModel_1000P[[#This Row],[Quantity]]=0,"",IF(AND(ConsumptionModel_1000P[[#This Row],[Resource Demand]]=0,ConsumptionModel_1000P[[#This Row],[Resource Available]]&gt;0),1,MIN(1,IFERROR(ConsumptionModel_1000P[[#This Row],[Resource Available]]/ConsumptionModel_1000P[[#This Row],[Resource Demand]],0))))</f>
        <v>1</v>
      </c>
      <c r="K50"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120.00000000000001</v>
      </c>
      <c r="O50" s="197"/>
      <c r="P50" s="71">
        <f>SUMIFS(ResourceAvailable_1000P[Amount Produced],ResourceAvailable_1000P[Resource],ResourceMonitor_1000P[[#This Row],[Resource]])</f>
        <v>0</v>
      </c>
      <c r="Q50" s="71">
        <f>SUMIFS(ResourceAvailable_1000P[Amount Consumed],ResourceAvailable_1000P[Resource],ResourceMonitor_1000P[[#This Row],[Resource]])</f>
        <v>0</v>
      </c>
      <c r="R50" s="71">
        <f>SUMIFS(ResourceAvailable_1000P[Amount Available for Resident Consumption],ResourceAvailable_1000P[Resource],ResourceMonitor_1000P[[#This Row],[Resource]])</f>
        <v>0</v>
      </c>
      <c r="S50" s="39">
        <f>MAX(0,ResourceMonitor_1000P[[#This Row],[Amount Available for Resident Consumption]]-SUMIFS(ConsumptionModel_1000P[Resource Demand],ConsumptionModel_1000P[Resource],ResourceMonitor_1000P[[#This Row],[Resource]]))</f>
        <v>0</v>
      </c>
      <c r="T50" s="39">
        <f>MIN(0,ResourceMonitor_1000P[[#This Row],[Amount Available for Resident Consumption]]-SUMIFS(ConsumptionModel_1000P[Resource Demand],ConsumptionModel_1000P[Resource],ResourceMonitor_1000P[[#This Row],[Resource]]))</f>
        <v>0</v>
      </c>
      <c r="U50" s="122">
        <f>IFERROR(INDEX(#REF!,MATCH(ResourceMonitor_1000P[[#This Row],[Resource]],#REF!,0)),0)</f>
        <v>0</v>
      </c>
      <c r="V50" s="194">
        <f>IFERROR(ResourceMonitor_1000P[[#This Row],[Amount Produced]]/ResourceMonitor_1000P[[#This Row],[Production Target]],0)</f>
        <v>0</v>
      </c>
      <c r="W50" s="133"/>
      <c r="X50" s="47">
        <f>IF(ResourceMonitor_1000P[[#This Row],[Ignore shipping needs?]]="Yes",0,ROUNDUP(ResourceMonitor_1000P[[#This Row],[Production Target]]/INDEX(ShipRequirementCalculator[Cargo capacity/h (return, 50% empty)],MATCH($X$15,ShipRequirementCalculator[Ship],0)),0))</f>
        <v>0</v>
      </c>
      <c r="Y50" s="47">
        <f>IF(ResourceMonitor_1000P[[#This Row],[Ignore shipping needs?]]="Yes",0,ROUNDUP(ResourceMonitor_1000P[[#This Row],[Production Target]]/INDEX(ShipRequirementCalculator[Cargo capacity/h (return, 50% empty)],MATCH($Y$15,ShipRequirementCalculator[Ship],0)),0))</f>
        <v>0</v>
      </c>
      <c r="Z50" s="47">
        <f>IF(ResourceMonitor_1000P[[#This Row],[Ignore shipping needs?]]="Yes",0,ROUNDUP(ResourceMonitor_1000P[[#This Row],[Production Target]]/INDEX(ShipRequirementCalculator[Cargo capacity/h (return, 50% empty)],MATCH($Z$15,ShipRequirementCalculator[Ship],0)),0))</f>
        <v>0</v>
      </c>
      <c r="AA50" s="124"/>
      <c r="AC50" s="103" t="s">
        <v>137</v>
      </c>
      <c r="AD50" s="83">
        <f>ROW()</f>
        <v>50</v>
      </c>
      <c r="AE50" s="74"/>
      <c r="AF50" s="50" t="s">
        <v>100</v>
      </c>
      <c r="AG50" s="18"/>
      <c r="AH50" s="74"/>
      <c r="AI50" s="156">
        <f>IFERROR(IslandModel_1000P[[#This Row],[Quantity]]/IslandModel_1000P[[#This Row],[Target Quantity]],0)</f>
        <v>0</v>
      </c>
      <c r="AJ50" s="61" t="str">
        <f>IFERROR(INDEX(Production[Resource Produced],MATCH(IslandModel_1000P[[#This Row],[Building]],Production[Building],0)),"")</f>
        <v>Fabric</v>
      </c>
      <c r="AK50" s="99">
        <f>IFERROR(IslandModel_1000P[[#This Row],[Quantity]]*INDEX(Production[Production in 1h],MATCH(IslandModel_1000P[[#This Row],[Building]],Production[Building],0))*IslandModel_1000P[[#This Row],[Input Consumption Multiplier]],0)</f>
        <v>0</v>
      </c>
      <c r="AL50" s="115">
        <f>100%</f>
        <v>1</v>
      </c>
      <c r="AM50"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50" s="77" t="str">
        <f>IFERROR(INDEX(Production[Input 1],MATCH(IslandModel_1000P[[#This Row],[Building]],Production[Building],0)),"")</f>
        <v>Land tile</v>
      </c>
      <c r="AO50" s="78"/>
      <c r="AP50"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50"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2212.5</v>
      </c>
      <c r="AR50"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50" s="35" t="str">
        <f>IFERROR(INDEX(Production[Input 2],MATCH(IslandModel_1000P[[#This Row],[Building]],Production[Building],0)),"")</f>
        <v>Yarn</v>
      </c>
      <c r="AT50" s="78"/>
      <c r="AU50"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50"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1350</v>
      </c>
      <c r="AW50"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50" s="35">
        <f>IFERROR(INDEX(Production[Input 3],MATCH(IslandModel_1000P[[#This Row],[Building]],Production[Building],0)),"")</f>
        <v>0</v>
      </c>
      <c r="AY50" s="78"/>
      <c r="AZ50"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50"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50"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50" s="35">
        <f>IFERROR(INDEX(Production[Input 4],MATCH(IslandModel_1000P[[#This Row],[Building]],Production[Building],0)),"")</f>
        <v>0</v>
      </c>
      <c r="BD50" s="78"/>
      <c r="BE50"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50"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50"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50" s="35">
        <f>IFERROR(INDEX(Production[Input 5],MATCH(IslandModel_1000P[[#This Row],[Building]],Production[Building],0)),"")</f>
        <v>0</v>
      </c>
      <c r="BI50" s="78"/>
      <c r="BJ50"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50"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50"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50" s="35">
        <f>IFERROR(INDEX(Production[Input 6],MATCH(IslandModel_1000P[[#This Row],[Building]],Production[Building],0)),"")</f>
        <v>0</v>
      </c>
      <c r="BN50" s="78"/>
      <c r="BO50"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50"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50"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50" s="35">
        <f>IFERROR(INDEX(Production[Input 7],MATCH(IslandModel_1000P[[#This Row],[Building]],Production[Building],0)),"")</f>
        <v>0</v>
      </c>
      <c r="BS50" s="78"/>
      <c r="BT50"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50"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50"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50" s="35">
        <f>IFERROR(INDEX(Production[Input 8],MATCH(IslandModel_1000P[[#This Row],[Building]],Production[Building],0)),"")</f>
        <v>0</v>
      </c>
      <c r="BX50" s="78"/>
      <c r="BY50"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50"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50"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50" s="35">
        <f>IFERROR(INDEX(Production[Input 9],MATCH(IslandModel_1000P[[#This Row],[Building]],Production[Building],0)),"")</f>
        <v>0</v>
      </c>
      <c r="CC50" s="78"/>
      <c r="CD50"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50"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50"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50" s="35">
        <f>IFERROR(INDEX(Production[Input 10],MATCH(IslandModel_1000P[[#This Row],[Building]],Production[Building],0)),"")</f>
        <v>0</v>
      </c>
      <c r="CH50" s="78"/>
      <c r="CI50"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50"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50"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50"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50" s="82" t="str">
        <f>IslandModel_1000P[[#This Row],[Resource Produced]]</f>
        <v>Fabric</v>
      </c>
      <c r="CN50" s="42">
        <f>IslandModel_1000P[[#This Row],[Amount produced/h]]</f>
        <v>0</v>
      </c>
      <c r="CO50" s="42" t="str">
        <f>IslandModel_1000P[[#This Row],[Input 1]]</f>
        <v>Land tile</v>
      </c>
      <c r="CP50" s="42">
        <f>-IslandModel_1000P[[#This Row],[Input 1 Consumed]]</f>
        <v>0</v>
      </c>
      <c r="CQ50" s="42" t="str">
        <f>IslandModel_1000P[[#This Row],[Input 2]]</f>
        <v>Yarn</v>
      </c>
      <c r="CR50" s="42">
        <f>-IslandModel_1000P[[#This Row],[Input 2 Consumed]]</f>
        <v>0</v>
      </c>
      <c r="CS50" s="42">
        <f>IslandModel_1000P[[#This Row],[Input 3]]</f>
        <v>0</v>
      </c>
      <c r="CT50" s="42">
        <f>-IslandModel_1000P[[#This Row],[Input 3 Consumed]]</f>
        <v>0</v>
      </c>
      <c r="CU50" s="42">
        <f>IslandModel_1000P[[#This Row],[Input 4]]</f>
        <v>0</v>
      </c>
      <c r="CV50" s="42">
        <f>-IslandModel_1000P[[#This Row],[Input 4 Consumed]]</f>
        <v>0</v>
      </c>
      <c r="CW50" s="42">
        <f>IslandModel_1000P[[#This Row],[Input 5]]</f>
        <v>0</v>
      </c>
      <c r="CX50" s="42">
        <f>-IslandModel_1000P[[#This Row],[Input 5 Consumed]]</f>
        <v>0</v>
      </c>
      <c r="CY50" s="42">
        <f>IslandModel_1000P[[#This Row],[Input 6]]</f>
        <v>0</v>
      </c>
      <c r="CZ50" s="42">
        <f>-IslandModel_1000P[[#This Row],[Input 6 Consumed]]</f>
        <v>0</v>
      </c>
      <c r="DA50" s="42">
        <f>IslandModel_1000P[[#This Row],[Input 7]]</f>
        <v>0</v>
      </c>
      <c r="DB50" s="42">
        <f>-IslandModel_1000P[[#This Row],[Input 7 Consumed]]</f>
        <v>0</v>
      </c>
      <c r="DC50" s="42">
        <f>IslandModel_1000P[[#This Row],[Input 8]]</f>
        <v>0</v>
      </c>
      <c r="DD50" s="42">
        <f>-IslandModel_1000P[[#This Row],[Input 8 Consumed]]</f>
        <v>0</v>
      </c>
      <c r="DE50" s="42">
        <f>IslandModel_1000P[[#This Row],[Input 9]]</f>
        <v>0</v>
      </c>
      <c r="DF50" s="42">
        <f>-IslandModel_1000P[[#This Row],[Input 9 Consumed]]</f>
        <v>0</v>
      </c>
      <c r="DG50" s="42">
        <f>IslandModel_1000P[[#This Row],[Input 10]]</f>
        <v>0</v>
      </c>
      <c r="DH50" s="42">
        <f>-IslandModel_1000P[[#This Row],[Input 10 Consumed]]</f>
        <v>0</v>
      </c>
      <c r="DJ50" s="55" t="s">
        <v>17</v>
      </c>
      <c r="DK50" s="39">
        <f>SUM(SUMIFS(IslandModel_1000P[Resource 1 Qty],IslandModel_1000P[Resource 1],ResourceAvailable_1000P[[#This Row],[Resource]]))</f>
        <v>0</v>
      </c>
      <c r="DL50"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50" s="39">
        <f>ResourceAvailable_1000P[[#This Row],[Amount Produced]]-ResourceAvailable_1000P[[#This Row],[Amount Consumed]]</f>
        <v>0</v>
      </c>
      <c r="DN50" s="20">
        <f>MAX(0,ResourceAvailable_1000P[[#This Row],[Amount Available for Resident Consumption]]-SUMIFS(ConsumptionModel_1000P[Resource Demand],ConsumptionModel_1000P[Resource],ResourceAvailable_1000P[[#This Row],[Resource]]))</f>
        <v>0</v>
      </c>
    </row>
    <row r="51" spans="2:118" ht="21" x14ac:dyDescent="0.65">
      <c r="B51" s="178">
        <f>ROW()</f>
        <v>51</v>
      </c>
      <c r="C51" s="70">
        <f>INDEX(ConsumptionModelInputs_1000P[Quantity],MATCH(ConsumptionModel_1000P[[#This Row],[Building]],ConsumptionModelInputs_1000P[Building],0))</f>
        <v>12</v>
      </c>
      <c r="D51" s="179" t="s">
        <v>58</v>
      </c>
      <c r="E51" s="179" t="s">
        <v>173</v>
      </c>
      <c r="F51" s="64" t="str">
        <f>IF(OR(ISBLANK(ConsumptionModel_1000P[[#This Row],[Building]]),ISBLANK(ConsumptionModel_1000P[[#This Row],[Resource]]))," - ",INDEX(Consumption[Type],MATCH(ConsumptionModel_1000P[[#This Row],[LookupValue]],Consumption[LookupValue],0)))</f>
        <v>Luxury</v>
      </c>
      <c r="G51" s="61" t="str">
        <f>IF(OR(ISBLANK(ConsumptionModel_1000P[[#This Row],[Building]]),ISBLANK(ConsumptionModel_1000P[[#This Row],[Resource]]))," - ",ConsumptionModel_1000P[[#This Row],[Building]]&amp;" - "&amp;ConsumptionModel_1000P[[#This Row],[Resource]])</f>
        <v>Merchant's Mansion - Gold Jewelry</v>
      </c>
      <c r="H51" s="62">
        <f>ConsumptionModel_1000P[[#This Row],[Quantity]]*INDEX(Consumption[Consumption/person/h],MATCH(ConsumptionModel_1000P[[#This Row],[LookupValue]],Consumption[LookupValue],0))*IFERROR(INDEX(ResidentBuildings[Residents],MATCH(ConsumptionModel_1000P[[#This Row],[Building]],ResidentBuildings[Building],0)),0)</f>
        <v>27</v>
      </c>
      <c r="I51"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30</v>
      </c>
      <c r="J51" s="65">
        <f>IF(ConsumptionModel_1000P[[#This Row],[Quantity]]=0,"",IF(AND(ConsumptionModel_1000P[[#This Row],[Resource Demand]]=0,ConsumptionModel_1000P[[#This Row],[Resource Available]]&gt;0),1,MIN(1,IFERROR(ConsumptionModel_1000P[[#This Row],[Resource Available]]/ConsumptionModel_1000P[[#This Row],[Resource Demand]],0))))</f>
        <v>1</v>
      </c>
      <c r="K51"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120.00000000000001</v>
      </c>
      <c r="O51" s="197"/>
      <c r="P51" s="71">
        <f>SUMIFS(ResourceAvailable_1000P[Amount Produced],ResourceAvailable_1000P[Resource],ResourceMonitor_1000P[[#This Row],[Resource]])</f>
        <v>0</v>
      </c>
      <c r="Q51" s="71">
        <f>SUMIFS(ResourceAvailable_1000P[Amount Consumed],ResourceAvailable_1000P[Resource],ResourceMonitor_1000P[[#This Row],[Resource]])</f>
        <v>0</v>
      </c>
      <c r="R51" s="71">
        <f>SUMIFS(ResourceAvailable_1000P[Amount Available for Resident Consumption],ResourceAvailable_1000P[Resource],ResourceMonitor_1000P[[#This Row],[Resource]])</f>
        <v>0</v>
      </c>
      <c r="S51" s="39">
        <f>MAX(0,ResourceMonitor_1000P[[#This Row],[Amount Available for Resident Consumption]]-SUMIFS(ConsumptionModel_1000P[Resource Demand],ConsumptionModel_1000P[Resource],ResourceMonitor_1000P[[#This Row],[Resource]]))</f>
        <v>0</v>
      </c>
      <c r="T51" s="39">
        <f>MIN(0,ResourceMonitor_1000P[[#This Row],[Amount Available for Resident Consumption]]-SUMIFS(ConsumptionModel_1000P[Resource Demand],ConsumptionModel_1000P[Resource],ResourceMonitor_1000P[[#This Row],[Resource]]))</f>
        <v>0</v>
      </c>
      <c r="U51" s="122">
        <f>IFERROR(INDEX(#REF!,MATCH(ResourceMonitor_1000P[[#This Row],[Resource]],#REF!,0)),0)</f>
        <v>0</v>
      </c>
      <c r="V51" s="194">
        <f>IFERROR(ResourceMonitor_1000P[[#This Row],[Amount Produced]]/ResourceMonitor_1000P[[#This Row],[Production Target]],0)</f>
        <v>0</v>
      </c>
      <c r="W51" s="133"/>
      <c r="X51" s="47">
        <f>IF(ResourceMonitor_1000P[[#This Row],[Ignore shipping needs?]]="Yes",0,ROUNDUP(ResourceMonitor_1000P[[#This Row],[Production Target]]/INDEX(ShipRequirementCalculator[Cargo capacity/h (return, 50% empty)],MATCH($X$15,ShipRequirementCalculator[Ship],0)),0))</f>
        <v>0</v>
      </c>
      <c r="Y51" s="47">
        <f>IF(ResourceMonitor_1000P[[#This Row],[Ignore shipping needs?]]="Yes",0,ROUNDUP(ResourceMonitor_1000P[[#This Row],[Production Target]]/INDEX(ShipRequirementCalculator[Cargo capacity/h (return, 50% empty)],MATCH($Y$15,ShipRequirementCalculator[Ship],0)),0))</f>
        <v>0</v>
      </c>
      <c r="Z51" s="47">
        <f>IF(ResourceMonitor_1000P[[#This Row],[Ignore shipping needs?]]="Yes",0,ROUNDUP(ResourceMonitor_1000P[[#This Row],[Production Target]]/INDEX(ShipRequirementCalculator[Cargo capacity/h (return, 50% empty)],MATCH($Z$15,ShipRequirementCalculator[Ship],0)),0))</f>
        <v>0</v>
      </c>
      <c r="AA51" s="124"/>
      <c r="AC51" s="103" t="s">
        <v>137</v>
      </c>
      <c r="AD51" s="83">
        <f>ROW()</f>
        <v>51</v>
      </c>
      <c r="AE51" s="74">
        <v>15</v>
      </c>
      <c r="AF51" s="50" t="s">
        <v>414</v>
      </c>
      <c r="AG51" s="18"/>
      <c r="AH51" s="74">
        <v>15</v>
      </c>
      <c r="AI51" s="156">
        <f>IFERROR(IslandModel_1000P[[#This Row],[Quantity]]/IslandModel_1000P[[#This Row],[Target Quantity]],0)</f>
        <v>1</v>
      </c>
      <c r="AJ51" s="61" t="str">
        <f>IFERROR(INDEX(Production[Resource Produced],MATCH(IslandModel_1000P[[#This Row],[Building]],Production[Building],0)),"")</f>
        <v>Fabric</v>
      </c>
      <c r="AK51" s="99">
        <f>IFERROR(IslandModel_1000P[[#This Row],[Quantity]]*INDEX(Production[Production in 1h],MATCH(IslandModel_1000P[[#This Row],[Building]],Production[Building],0))*IslandModel_1000P[[#This Row],[Input Consumption Multiplier]],0)</f>
        <v>675</v>
      </c>
      <c r="AL51" s="115">
        <f>100%</f>
        <v>1</v>
      </c>
      <c r="AM51"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51" s="77" t="str">
        <f>IFERROR(INDEX(Production[Input 1],MATCH(IslandModel_1000P[[#This Row],[Building]],Production[Building],0)),"")</f>
        <v>Land tile</v>
      </c>
      <c r="AO51" s="78"/>
      <c r="AP51"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15</v>
      </c>
      <c r="AQ51"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2212.5</v>
      </c>
      <c r="AR51"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15</v>
      </c>
      <c r="AS51" s="35" t="str">
        <f>IFERROR(INDEX(Production[Input 2],MATCH(IslandModel_1000P[[#This Row],[Building]],Production[Building],0)),"")</f>
        <v>Yarn</v>
      </c>
      <c r="AT51" s="78"/>
      <c r="AU51"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1350</v>
      </c>
      <c r="AV51"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1350</v>
      </c>
      <c r="AW51"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1350</v>
      </c>
      <c r="AX51" s="35">
        <f>IFERROR(INDEX(Production[Input 3],MATCH(IslandModel_1000P[[#This Row],[Building]],Production[Building],0)),"")</f>
        <v>0</v>
      </c>
      <c r="AY51" s="78"/>
      <c r="AZ51"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51"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51"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51" s="35">
        <f>IFERROR(INDEX(Production[Input 4],MATCH(IslandModel_1000P[[#This Row],[Building]],Production[Building],0)),"")</f>
        <v>0</v>
      </c>
      <c r="BD51" s="78"/>
      <c r="BE51"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51"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51"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51" s="35">
        <f>IFERROR(INDEX(Production[Input 5],MATCH(IslandModel_1000P[[#This Row],[Building]],Production[Building],0)),"")</f>
        <v>0</v>
      </c>
      <c r="BI51" s="78"/>
      <c r="BJ51"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51"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51"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51" s="35">
        <f>IFERROR(INDEX(Production[Input 6],MATCH(IslandModel_1000P[[#This Row],[Building]],Production[Building],0)),"")</f>
        <v>0</v>
      </c>
      <c r="BN51" s="78"/>
      <c r="BO51"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51"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51"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51" s="35">
        <f>IFERROR(INDEX(Production[Input 7],MATCH(IslandModel_1000P[[#This Row],[Building]],Production[Building],0)),"")</f>
        <v>0</v>
      </c>
      <c r="BS51" s="78"/>
      <c r="BT51"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51"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51"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51" s="35">
        <f>IFERROR(INDEX(Production[Input 8],MATCH(IslandModel_1000P[[#This Row],[Building]],Production[Building],0)),"")</f>
        <v>0</v>
      </c>
      <c r="BX51" s="78"/>
      <c r="BY51"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51"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51"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51" s="35">
        <f>IFERROR(INDEX(Production[Input 9],MATCH(IslandModel_1000P[[#This Row],[Building]],Production[Building],0)),"")</f>
        <v>0</v>
      </c>
      <c r="CC51" s="78"/>
      <c r="CD51"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51"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51"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51" s="35">
        <f>IFERROR(INDEX(Production[Input 10],MATCH(IslandModel_1000P[[#This Row],[Building]],Production[Building],0)),"")</f>
        <v>0</v>
      </c>
      <c r="CH51" s="78"/>
      <c r="CI51"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51"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51"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51"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51" s="82" t="str">
        <f>IslandModel_1000P[[#This Row],[Resource Produced]]</f>
        <v>Fabric</v>
      </c>
      <c r="CN51" s="42">
        <f>IslandModel_1000P[[#This Row],[Amount produced/h]]</f>
        <v>675</v>
      </c>
      <c r="CO51" s="42" t="str">
        <f>IslandModel_1000P[[#This Row],[Input 1]]</f>
        <v>Land tile</v>
      </c>
      <c r="CP51" s="42">
        <f>-IslandModel_1000P[[#This Row],[Input 1 Consumed]]</f>
        <v>-15</v>
      </c>
      <c r="CQ51" s="42" t="str">
        <f>IslandModel_1000P[[#This Row],[Input 2]]</f>
        <v>Yarn</v>
      </c>
      <c r="CR51" s="42">
        <f>-IslandModel_1000P[[#This Row],[Input 2 Consumed]]</f>
        <v>-1350</v>
      </c>
      <c r="CS51" s="42">
        <f>IslandModel_1000P[[#This Row],[Input 3]]</f>
        <v>0</v>
      </c>
      <c r="CT51" s="42">
        <f>-IslandModel_1000P[[#This Row],[Input 3 Consumed]]</f>
        <v>0</v>
      </c>
      <c r="CU51" s="42">
        <f>IslandModel_1000P[[#This Row],[Input 4]]</f>
        <v>0</v>
      </c>
      <c r="CV51" s="42">
        <f>-IslandModel_1000P[[#This Row],[Input 4 Consumed]]</f>
        <v>0</v>
      </c>
      <c r="CW51" s="42">
        <f>IslandModel_1000P[[#This Row],[Input 5]]</f>
        <v>0</v>
      </c>
      <c r="CX51" s="42">
        <f>-IslandModel_1000P[[#This Row],[Input 5 Consumed]]</f>
        <v>0</v>
      </c>
      <c r="CY51" s="42">
        <f>IslandModel_1000P[[#This Row],[Input 6]]</f>
        <v>0</v>
      </c>
      <c r="CZ51" s="42">
        <f>-IslandModel_1000P[[#This Row],[Input 6 Consumed]]</f>
        <v>0</v>
      </c>
      <c r="DA51" s="42">
        <f>IslandModel_1000P[[#This Row],[Input 7]]</f>
        <v>0</v>
      </c>
      <c r="DB51" s="42">
        <f>-IslandModel_1000P[[#This Row],[Input 7 Consumed]]</f>
        <v>0</v>
      </c>
      <c r="DC51" s="42">
        <f>IslandModel_1000P[[#This Row],[Input 8]]</f>
        <v>0</v>
      </c>
      <c r="DD51" s="42">
        <f>-IslandModel_1000P[[#This Row],[Input 8 Consumed]]</f>
        <v>0</v>
      </c>
      <c r="DE51" s="42">
        <f>IslandModel_1000P[[#This Row],[Input 9]]</f>
        <v>0</v>
      </c>
      <c r="DF51" s="42">
        <f>-IslandModel_1000P[[#This Row],[Input 9 Consumed]]</f>
        <v>0</v>
      </c>
      <c r="DG51" s="42">
        <f>IslandModel_1000P[[#This Row],[Input 10]]</f>
        <v>0</v>
      </c>
      <c r="DH51" s="42">
        <f>-IslandModel_1000P[[#This Row],[Input 10 Consumed]]</f>
        <v>0</v>
      </c>
      <c r="DJ51" t="s">
        <v>371</v>
      </c>
      <c r="DK51" s="39">
        <f>SUM(SUMIFS(IslandModel_1000P[Resource 1 Qty],IslandModel_1000P[Resource 1],ResourceAvailable_1000P[[#This Row],[Resource]]))</f>
        <v>277.5</v>
      </c>
      <c r="DL51"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275.625</v>
      </c>
      <c r="DM51" s="39">
        <f>ResourceAvailable_1000P[[#This Row],[Amount Produced]]-ResourceAvailable_1000P[[#This Row],[Amount Consumed]]</f>
        <v>1.875</v>
      </c>
      <c r="DN51" s="58">
        <f>MAX(0,ResourceAvailable_1000P[[#This Row],[Amount Available for Resident Consumption]]-SUMIFS(ConsumptionModel_1000P[Resource Demand],ConsumptionModel_1000P[Resource],ResourceAvailable_1000P[[#This Row],[Resource]]))</f>
        <v>1.875</v>
      </c>
    </row>
    <row r="52" spans="2:118" ht="21" x14ac:dyDescent="0.65">
      <c r="B52" s="178">
        <f>ROW()</f>
        <v>52</v>
      </c>
      <c r="C52" s="70">
        <f>INDEX(ConsumptionModelInputs_1000P[Quantity],MATCH(ConsumptionModel_1000P[[#This Row],[Building]],ConsumptionModelInputs_1000P[Building],0))</f>
        <v>12</v>
      </c>
      <c r="D52" s="179" t="s">
        <v>58</v>
      </c>
      <c r="E52" s="179" t="s">
        <v>152</v>
      </c>
      <c r="F52" s="64" t="str">
        <f>IF(OR(ISBLANK(ConsumptionModel_1000P[[#This Row],[Building]]),ISBLANK(ConsumptionModel_1000P[[#This Row],[Resource]]))," - ",INDEX(Consumption[Type],MATCH(ConsumptionModel_1000P[[#This Row],[LookupValue]],Consumption[LookupValue],0)))</f>
        <v>Luxury</v>
      </c>
      <c r="G52" s="61" t="str">
        <f>IF(OR(ISBLANK(ConsumptionModel_1000P[[#This Row],[Building]]),ISBLANK(ConsumptionModel_1000P[[#This Row],[Resource]]))," - ",ConsumptionModel_1000P[[#This Row],[Building]]&amp;" - "&amp;ConsumptionModel_1000P[[#This Row],[Resource]])</f>
        <v>Merchant's Mansion - Medical Care</v>
      </c>
      <c r="H52" s="62">
        <f>ConsumptionModel_1000P[[#This Row],[Quantity]]*INDEX(Consumption[Consumption/person/h],MATCH(ConsumptionModel_1000P[[#This Row],[LookupValue]],Consumption[LookupValue],0))*IFERROR(INDEX(ResidentBuildings[Residents],MATCH(ConsumptionModel_1000P[[#This Row],[Building]],ResidentBuildings[Building],0)),0)</f>
        <v>0</v>
      </c>
      <c r="I52"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3</v>
      </c>
      <c r="J52" s="65">
        <f>IF(ConsumptionModel_1000P[[#This Row],[Quantity]]=0,"",IF(AND(ConsumptionModel_1000P[[#This Row],[Resource Demand]]=0,ConsumptionModel_1000P[[#This Row],[Resource Available]]&gt;0),1,MIN(1,IFERROR(ConsumptionModel_1000P[[#This Row],[Resource Available]]/ConsumptionModel_1000P[[#This Row],[Resource Demand]],0))))</f>
        <v>1</v>
      </c>
      <c r="K52"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60.000000000000007</v>
      </c>
      <c r="O52" s="197"/>
      <c r="P52" s="71">
        <f>SUMIFS(ResourceAvailable_1000P[Amount Produced],ResourceAvailable_1000P[Resource],ResourceMonitor_1000P[[#This Row],[Resource]])</f>
        <v>0</v>
      </c>
      <c r="Q52" s="71">
        <f>SUMIFS(ResourceAvailable_1000P[Amount Consumed],ResourceAvailable_1000P[Resource],ResourceMonitor_1000P[[#This Row],[Resource]])</f>
        <v>0</v>
      </c>
      <c r="R52" s="71">
        <f>SUMIFS(ResourceAvailable_1000P[Amount Available for Resident Consumption],ResourceAvailable_1000P[Resource],ResourceMonitor_1000P[[#This Row],[Resource]])</f>
        <v>0</v>
      </c>
      <c r="S52" s="39">
        <f>MAX(0,ResourceMonitor_1000P[[#This Row],[Amount Available for Resident Consumption]]-SUMIFS(ConsumptionModel_1000P[Resource Demand],ConsumptionModel_1000P[Resource],ResourceMonitor_1000P[[#This Row],[Resource]]))</f>
        <v>0</v>
      </c>
      <c r="T52" s="39">
        <f>MIN(0,ResourceMonitor_1000P[[#This Row],[Amount Available for Resident Consumption]]-SUMIFS(ConsumptionModel_1000P[Resource Demand],ConsumptionModel_1000P[Resource],ResourceMonitor_1000P[[#This Row],[Resource]]))</f>
        <v>0</v>
      </c>
      <c r="U52" s="122">
        <f>IFERROR(INDEX(#REF!,MATCH(ResourceMonitor_1000P[[#This Row],[Resource]],#REF!,0)),0)</f>
        <v>0</v>
      </c>
      <c r="V52" s="194">
        <f>IFERROR(ResourceMonitor_1000P[[#This Row],[Amount Produced]]/ResourceMonitor_1000P[[#This Row],[Production Target]],0)</f>
        <v>0</v>
      </c>
      <c r="W52" s="133"/>
      <c r="X52" s="47">
        <f>IF(ResourceMonitor_1000P[[#This Row],[Ignore shipping needs?]]="Yes",0,ROUNDUP(ResourceMonitor_1000P[[#This Row],[Production Target]]/INDEX(ShipRequirementCalculator[Cargo capacity/h (return, 50% empty)],MATCH($X$15,ShipRequirementCalculator[Ship],0)),0))</f>
        <v>0</v>
      </c>
      <c r="Y52" s="47">
        <f>IF(ResourceMonitor_1000P[[#This Row],[Ignore shipping needs?]]="Yes",0,ROUNDUP(ResourceMonitor_1000P[[#This Row],[Production Target]]/INDEX(ShipRequirementCalculator[Cargo capacity/h (return, 50% empty)],MATCH($Y$15,ShipRequirementCalculator[Ship],0)),0))</f>
        <v>0</v>
      </c>
      <c r="Z52" s="47">
        <f>IF(ResourceMonitor_1000P[[#This Row],[Ignore shipping needs?]]="Yes",0,ROUNDUP(ResourceMonitor_1000P[[#This Row],[Production Target]]/INDEX(ShipRequirementCalculator[Cargo capacity/h (return, 50% empty)],MATCH($Z$15,ShipRequirementCalculator[Ship],0)),0))</f>
        <v>0</v>
      </c>
      <c r="AA52" s="124"/>
      <c r="AC52" s="103" t="s">
        <v>137</v>
      </c>
      <c r="AD52" s="83">
        <f>ROW()</f>
        <v>52</v>
      </c>
      <c r="AE52" s="74">
        <v>11</v>
      </c>
      <c r="AF52" s="50" t="s">
        <v>846</v>
      </c>
      <c r="AG52" s="18"/>
      <c r="AH52" s="74">
        <v>11</v>
      </c>
      <c r="AI52" s="156">
        <f>IFERROR(IslandModel_1000P[[#This Row],[Quantity]]/IslandModel_1000P[[#This Row],[Target Quantity]],0)</f>
        <v>1</v>
      </c>
      <c r="AJ52" s="61" t="str">
        <f>IFERROR(INDEX(Production[Resource Produced],MATCH(IslandModel_1000P[[#This Row],[Building]],Production[Building],0)),"")</f>
        <v>Clothes</v>
      </c>
      <c r="AK52" s="99">
        <f>IFERROR(IslandModel_1000P[[#This Row],[Quantity]]*INDEX(Production[Production in 1h],MATCH(IslandModel_1000P[[#This Row],[Building]],Production[Building],0))*IslandModel_1000P[[#This Row],[Input Consumption Multiplier]],0)</f>
        <v>165</v>
      </c>
      <c r="AL52" s="115">
        <f>100%</f>
        <v>1</v>
      </c>
      <c r="AM52"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52" s="77" t="str">
        <f>IFERROR(INDEX(Production[Input 1],MATCH(IslandModel_1000P[[#This Row],[Building]],Production[Building],0)),"")</f>
        <v>Land tile</v>
      </c>
      <c r="AO52" s="78"/>
      <c r="AP52"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11</v>
      </c>
      <c r="AQ52"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2197.5</v>
      </c>
      <c r="AR52"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11</v>
      </c>
      <c r="AS52" s="35" t="str">
        <f>IFERROR(INDEX(Production[Input 2],MATCH(IslandModel_1000P[[#This Row],[Building]],Production[Building],0)),"")</f>
        <v>Fabric</v>
      </c>
      <c r="AT52" s="78"/>
      <c r="AU52"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660</v>
      </c>
      <c r="AV52"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720</v>
      </c>
      <c r="AW52"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660</v>
      </c>
      <c r="AX52" s="35">
        <f>IFERROR(INDEX(Production[Input 3],MATCH(IslandModel_1000P[[#This Row],[Building]],Production[Building],0)),"")</f>
        <v>0</v>
      </c>
      <c r="AY52" s="78"/>
      <c r="AZ52"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52"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52"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52" s="35">
        <f>IFERROR(INDEX(Production[Input 4],MATCH(IslandModel_1000P[[#This Row],[Building]],Production[Building],0)),"")</f>
        <v>0</v>
      </c>
      <c r="BD52" s="78"/>
      <c r="BE52"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52"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52"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52" s="35">
        <f>IFERROR(INDEX(Production[Input 5],MATCH(IslandModel_1000P[[#This Row],[Building]],Production[Building],0)),"")</f>
        <v>0</v>
      </c>
      <c r="BI52" s="78"/>
      <c r="BJ52"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52"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52"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52" s="35">
        <f>IFERROR(INDEX(Production[Input 6],MATCH(IslandModel_1000P[[#This Row],[Building]],Production[Building],0)),"")</f>
        <v>0</v>
      </c>
      <c r="BN52" s="78"/>
      <c r="BO52"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52"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52"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52" s="35">
        <f>IFERROR(INDEX(Production[Input 7],MATCH(IslandModel_1000P[[#This Row],[Building]],Production[Building],0)),"")</f>
        <v>0</v>
      </c>
      <c r="BS52" s="78"/>
      <c r="BT52"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52"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52"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52" s="35">
        <f>IFERROR(INDEX(Production[Input 8],MATCH(IslandModel_1000P[[#This Row],[Building]],Production[Building],0)),"")</f>
        <v>0</v>
      </c>
      <c r="BX52" s="78"/>
      <c r="BY52"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52"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52"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52" s="35">
        <f>IFERROR(INDEX(Production[Input 9],MATCH(IslandModel_1000P[[#This Row],[Building]],Production[Building],0)),"")</f>
        <v>0</v>
      </c>
      <c r="CC52" s="78"/>
      <c r="CD52"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52"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52"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52" s="35">
        <f>IFERROR(INDEX(Production[Input 10],MATCH(IslandModel_1000P[[#This Row],[Building]],Production[Building],0)),"")</f>
        <v>0</v>
      </c>
      <c r="CH52" s="78"/>
      <c r="CI52"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52"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52"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52"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52" s="82" t="str">
        <f>IslandModel_1000P[[#This Row],[Resource Produced]]</f>
        <v>Clothes</v>
      </c>
      <c r="CN52" s="42">
        <f>IslandModel_1000P[[#This Row],[Amount produced/h]]</f>
        <v>165</v>
      </c>
      <c r="CO52" s="42" t="str">
        <f>IslandModel_1000P[[#This Row],[Input 1]]</f>
        <v>Land tile</v>
      </c>
      <c r="CP52" s="42">
        <f>-IslandModel_1000P[[#This Row],[Input 1 Consumed]]</f>
        <v>-11</v>
      </c>
      <c r="CQ52" s="42" t="str">
        <f>IslandModel_1000P[[#This Row],[Input 2]]</f>
        <v>Fabric</v>
      </c>
      <c r="CR52" s="42">
        <f>-IslandModel_1000P[[#This Row],[Input 2 Consumed]]</f>
        <v>-660</v>
      </c>
      <c r="CS52" s="42">
        <f>IslandModel_1000P[[#This Row],[Input 3]]</f>
        <v>0</v>
      </c>
      <c r="CT52" s="42">
        <f>-IslandModel_1000P[[#This Row],[Input 3 Consumed]]</f>
        <v>0</v>
      </c>
      <c r="CU52" s="42">
        <f>IslandModel_1000P[[#This Row],[Input 4]]</f>
        <v>0</v>
      </c>
      <c r="CV52" s="42">
        <f>-IslandModel_1000P[[#This Row],[Input 4 Consumed]]</f>
        <v>0</v>
      </c>
      <c r="CW52" s="42">
        <f>IslandModel_1000P[[#This Row],[Input 5]]</f>
        <v>0</v>
      </c>
      <c r="CX52" s="42">
        <f>-IslandModel_1000P[[#This Row],[Input 5 Consumed]]</f>
        <v>0</v>
      </c>
      <c r="CY52" s="42">
        <f>IslandModel_1000P[[#This Row],[Input 6]]</f>
        <v>0</v>
      </c>
      <c r="CZ52" s="42">
        <f>-IslandModel_1000P[[#This Row],[Input 6 Consumed]]</f>
        <v>0</v>
      </c>
      <c r="DA52" s="42">
        <f>IslandModel_1000P[[#This Row],[Input 7]]</f>
        <v>0</v>
      </c>
      <c r="DB52" s="42">
        <f>-IslandModel_1000P[[#This Row],[Input 7 Consumed]]</f>
        <v>0</v>
      </c>
      <c r="DC52" s="42">
        <f>IslandModel_1000P[[#This Row],[Input 8]]</f>
        <v>0</v>
      </c>
      <c r="DD52" s="42">
        <f>-IslandModel_1000P[[#This Row],[Input 8 Consumed]]</f>
        <v>0</v>
      </c>
      <c r="DE52" s="42">
        <f>IslandModel_1000P[[#This Row],[Input 9]]</f>
        <v>0</v>
      </c>
      <c r="DF52" s="42">
        <f>-IslandModel_1000P[[#This Row],[Input 9 Consumed]]</f>
        <v>0</v>
      </c>
      <c r="DG52" s="42">
        <f>IslandModel_1000P[[#This Row],[Input 10]]</f>
        <v>0</v>
      </c>
      <c r="DH52" s="42">
        <f>-IslandModel_1000P[[#This Row],[Input 10 Consumed]]</f>
        <v>0</v>
      </c>
      <c r="DJ52" s="55" t="s">
        <v>332</v>
      </c>
      <c r="DK52" s="39">
        <f>SUM(SUMIFS(IslandModel_1000P[Resource 1 Qty],IslandModel_1000P[Resource 1],ResourceAvailable_1000P[[#This Row],[Resource]]))</f>
        <v>3</v>
      </c>
      <c r="DL52"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52" s="39">
        <f>ResourceAvailable_1000P[[#This Row],[Amount Produced]]-ResourceAvailable_1000P[[#This Row],[Amount Consumed]]</f>
        <v>3</v>
      </c>
      <c r="DN52" s="58">
        <f>MAX(0,ResourceAvailable_1000P[[#This Row],[Amount Available for Resident Consumption]]-SUMIFS(ConsumptionModel_1000P[Resource Demand],ConsumptionModel_1000P[Resource],ResourceAvailable_1000P[[#This Row],[Resource]]))</f>
        <v>3</v>
      </c>
    </row>
    <row r="53" spans="2:118" ht="21.4" thickBot="1" x14ac:dyDescent="0.7">
      <c r="B53" s="181">
        <f>ROW()</f>
        <v>53</v>
      </c>
      <c r="C53" s="182">
        <f>INDEX(ConsumptionModelInputs_1000P[Quantity],MATCH(ConsumptionModel_1000P[[#This Row],[Building]],ConsumptionModelInputs_1000P[Building],0))</f>
        <v>12</v>
      </c>
      <c r="D53" s="183" t="s">
        <v>58</v>
      </c>
      <c r="E53" s="183" t="s">
        <v>337</v>
      </c>
      <c r="F53" s="184" t="str">
        <f>IF(OR(ISBLANK(ConsumptionModel_1000P[[#This Row],[Building]]),ISBLANK(ConsumptionModel_1000P[[#This Row],[Resource]]))," - ",INDEX(Consumption[Type],MATCH(ConsumptionModel_1000P[[#This Row],[LookupValue]],Consumption[LookupValue],0)))</f>
        <v>Luxury</v>
      </c>
      <c r="G53" s="185" t="str">
        <f>IF(OR(ISBLANK(ConsumptionModel_1000P[[#This Row],[Building]]),ISBLANK(ConsumptionModel_1000P[[#This Row],[Resource]]))," - ",ConsumptionModel_1000P[[#This Row],[Building]]&amp;" - "&amp;ConsumptionModel_1000P[[#This Row],[Resource]])</f>
        <v>Merchant's Mansion - Hygiene</v>
      </c>
      <c r="H53" s="186">
        <f>ConsumptionModel_1000P[[#This Row],[Quantity]]*INDEX(Consumption[Consumption/person/h],MATCH(ConsumptionModel_1000P[[#This Row],[LookupValue]],Consumption[LookupValue],0))*IFERROR(INDEX(ResidentBuildings[Residents],MATCH(ConsumptionModel_1000P[[#This Row],[Building]],ResidentBuildings[Building],0)),0)</f>
        <v>0</v>
      </c>
      <c r="I53" s="186">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2</v>
      </c>
      <c r="J53" s="187">
        <f>IF(ConsumptionModel_1000P[[#This Row],[Quantity]]=0,"",IF(AND(ConsumptionModel_1000P[[#This Row],[Resource Demand]]=0,ConsumptionModel_1000P[[#This Row],[Resource Available]]&gt;0),1,MIN(1,IFERROR(ConsumptionModel_1000P[[#This Row],[Resource Available]]/ConsumptionModel_1000P[[#This Row],[Resource Demand]],0))))</f>
        <v>1</v>
      </c>
      <c r="K53" s="188">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60.000000000000007</v>
      </c>
      <c r="O53" s="197"/>
      <c r="P53" s="71">
        <f>SUMIFS(ResourceAvailable_1000P[Amount Produced],ResourceAvailable_1000P[Resource],ResourceMonitor_1000P[[#This Row],[Resource]])</f>
        <v>0</v>
      </c>
      <c r="Q53" s="71">
        <f>SUMIFS(ResourceAvailable_1000P[Amount Consumed],ResourceAvailable_1000P[Resource],ResourceMonitor_1000P[[#This Row],[Resource]])</f>
        <v>0</v>
      </c>
      <c r="R53" s="71">
        <f>SUMIFS(ResourceAvailable_1000P[Amount Available for Resident Consumption],ResourceAvailable_1000P[Resource],ResourceMonitor_1000P[[#This Row],[Resource]])</f>
        <v>0</v>
      </c>
      <c r="S53" s="39">
        <f>MAX(0,ResourceMonitor_1000P[[#This Row],[Amount Available for Resident Consumption]]-SUMIFS(ConsumptionModel_1000P[Resource Demand],ConsumptionModel_1000P[Resource],ResourceMonitor_1000P[[#This Row],[Resource]]))</f>
        <v>0</v>
      </c>
      <c r="T53" s="39">
        <f>MIN(0,ResourceMonitor_1000P[[#This Row],[Amount Available for Resident Consumption]]-SUMIFS(ConsumptionModel_1000P[Resource Demand],ConsumptionModel_1000P[Resource],ResourceMonitor_1000P[[#This Row],[Resource]]))</f>
        <v>0</v>
      </c>
      <c r="U53" s="122">
        <f>IFERROR(INDEX(#REF!,MATCH(ResourceMonitor_1000P[[#This Row],[Resource]],#REF!,0)),0)</f>
        <v>0</v>
      </c>
      <c r="V53" s="194">
        <f>IFERROR(ResourceMonitor_1000P[[#This Row],[Amount Produced]]/ResourceMonitor_1000P[[#This Row],[Production Target]],0)</f>
        <v>0</v>
      </c>
      <c r="W53" s="133"/>
      <c r="X53" s="47">
        <f>IF(ResourceMonitor_1000P[[#This Row],[Ignore shipping needs?]]="Yes",0,ROUNDUP(ResourceMonitor_1000P[[#This Row],[Production Target]]/INDEX(ShipRequirementCalculator[Cargo capacity/h (return, 50% empty)],MATCH($X$15,ShipRequirementCalculator[Ship],0)),0))</f>
        <v>0</v>
      </c>
      <c r="Y53" s="47">
        <f>IF(ResourceMonitor_1000P[[#This Row],[Ignore shipping needs?]]="Yes",0,ROUNDUP(ResourceMonitor_1000P[[#This Row],[Production Target]]/INDEX(ShipRequirementCalculator[Cargo capacity/h (return, 50% empty)],MATCH($Y$15,ShipRequirementCalculator[Ship],0)),0))</f>
        <v>0</v>
      </c>
      <c r="Z53" s="47">
        <f>IF(ResourceMonitor_1000P[[#This Row],[Ignore shipping needs?]]="Yes",0,ROUNDUP(ResourceMonitor_1000P[[#This Row],[Production Target]]/INDEX(ShipRequirementCalculator[Cargo capacity/h (return, 50% empty)],MATCH($Z$15,ShipRequirementCalculator[Ship],0)),0))</f>
        <v>0</v>
      </c>
      <c r="AA53" s="124"/>
      <c r="AC53" s="103" t="s">
        <v>146</v>
      </c>
      <c r="AD53" s="83">
        <f>ROW()</f>
        <v>53</v>
      </c>
      <c r="AE53" s="169">
        <f>AE54*8</f>
        <v>128</v>
      </c>
      <c r="AF53" s="50" t="s">
        <v>139</v>
      </c>
      <c r="AG53" s="18"/>
      <c r="AH53" s="169">
        <f>AH54*8</f>
        <v>128</v>
      </c>
      <c r="AI53" s="156">
        <f>IFERROR(IslandModel_1000P[[#This Row],[Quantity]]/IslandModel_1000P[[#This Row],[Target Quantity]],0)</f>
        <v>1</v>
      </c>
      <c r="AJ53" s="61" t="str">
        <f>IFERROR(INDEX(Production[Resource Produced],MATCH(IslandModel_1000P[[#This Row],[Building]],Production[Building],0)),"")</f>
        <v>Hop Field</v>
      </c>
      <c r="AK53" s="99">
        <f>IFERROR(IslandModel_1000P[[#This Row],[Quantity]]*INDEX(Production[Production in 1h],MATCH(IslandModel_1000P[[#This Row],[Building]],Production[Building],0))*IslandModel_1000P[[#This Row],[Input Consumption Multiplier]],0)</f>
        <v>128</v>
      </c>
      <c r="AL53" s="115">
        <f>100%</f>
        <v>1</v>
      </c>
      <c r="AM53"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53" s="77" t="str">
        <f>IFERROR(INDEX(Production[Input 1],MATCH(IslandModel_1000P[[#This Row],[Building]],Production[Building],0)),"")</f>
        <v>Land tile</v>
      </c>
      <c r="AO53" s="78"/>
      <c r="AP53"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128</v>
      </c>
      <c r="AQ53"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2186.5</v>
      </c>
      <c r="AR53"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128</v>
      </c>
      <c r="AS53" s="35">
        <f>IFERROR(INDEX(Production[Input 2],MATCH(IslandModel_1000P[[#This Row],[Building]],Production[Building],0)),"")</f>
        <v>0</v>
      </c>
      <c r="AT53" s="78"/>
      <c r="AU53"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53"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53"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53" s="35">
        <f>IFERROR(INDEX(Production[Input 3],MATCH(IslandModel_1000P[[#This Row],[Building]],Production[Building],0)),"")</f>
        <v>0</v>
      </c>
      <c r="AY53" s="78"/>
      <c r="AZ53"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53"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53"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53" s="35">
        <f>IFERROR(INDEX(Production[Input 4],MATCH(IslandModel_1000P[[#This Row],[Building]],Production[Building],0)),"")</f>
        <v>0</v>
      </c>
      <c r="BD53" s="78"/>
      <c r="BE53"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53"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53"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53" s="35">
        <f>IFERROR(INDEX(Production[Input 5],MATCH(IslandModel_1000P[[#This Row],[Building]],Production[Building],0)),"")</f>
        <v>0</v>
      </c>
      <c r="BI53" s="78"/>
      <c r="BJ53"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53"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53"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53" s="35">
        <f>IFERROR(INDEX(Production[Input 6],MATCH(IslandModel_1000P[[#This Row],[Building]],Production[Building],0)),"")</f>
        <v>0</v>
      </c>
      <c r="BN53" s="78"/>
      <c r="BO53"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53"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53"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53" s="35">
        <f>IFERROR(INDEX(Production[Input 7],MATCH(IslandModel_1000P[[#This Row],[Building]],Production[Building],0)),"")</f>
        <v>0</v>
      </c>
      <c r="BS53" s="78"/>
      <c r="BT53"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53"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53"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53" s="35">
        <f>IFERROR(INDEX(Production[Input 8],MATCH(IslandModel_1000P[[#This Row],[Building]],Production[Building],0)),"")</f>
        <v>0</v>
      </c>
      <c r="BX53" s="78"/>
      <c r="BY53"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53"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53"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53" s="35">
        <f>IFERROR(INDEX(Production[Input 9],MATCH(IslandModel_1000P[[#This Row],[Building]],Production[Building],0)),"")</f>
        <v>0</v>
      </c>
      <c r="CC53" s="78"/>
      <c r="CD53"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53"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53"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53" s="35">
        <f>IFERROR(INDEX(Production[Input 10],MATCH(IslandModel_1000P[[#This Row],[Building]],Production[Building],0)),"")</f>
        <v>0</v>
      </c>
      <c r="CH53" s="78"/>
      <c r="CI53"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53"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53"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53"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53" s="82" t="str">
        <f>IslandModel_1000P[[#This Row],[Resource Produced]]</f>
        <v>Hop Field</v>
      </c>
      <c r="CN53" s="42">
        <f>IslandModel_1000P[[#This Row],[Amount produced/h]]</f>
        <v>128</v>
      </c>
      <c r="CO53" s="42" t="str">
        <f>IslandModel_1000P[[#This Row],[Input 1]]</f>
        <v>Land tile</v>
      </c>
      <c r="CP53" s="42">
        <f>-IslandModel_1000P[[#This Row],[Input 1 Consumed]]</f>
        <v>-128</v>
      </c>
      <c r="CQ53" s="42">
        <f>IslandModel_1000P[[#This Row],[Input 2]]</f>
        <v>0</v>
      </c>
      <c r="CR53" s="42">
        <f>-IslandModel_1000P[[#This Row],[Input 2 Consumed]]</f>
        <v>0</v>
      </c>
      <c r="CS53" s="42">
        <f>IslandModel_1000P[[#This Row],[Input 3]]</f>
        <v>0</v>
      </c>
      <c r="CT53" s="42">
        <f>-IslandModel_1000P[[#This Row],[Input 3 Consumed]]</f>
        <v>0</v>
      </c>
      <c r="CU53" s="42">
        <f>IslandModel_1000P[[#This Row],[Input 4]]</f>
        <v>0</v>
      </c>
      <c r="CV53" s="42">
        <f>-IslandModel_1000P[[#This Row],[Input 4 Consumed]]</f>
        <v>0</v>
      </c>
      <c r="CW53" s="42">
        <f>IslandModel_1000P[[#This Row],[Input 5]]</f>
        <v>0</v>
      </c>
      <c r="CX53" s="42">
        <f>-IslandModel_1000P[[#This Row],[Input 5 Consumed]]</f>
        <v>0</v>
      </c>
      <c r="CY53" s="42">
        <f>IslandModel_1000P[[#This Row],[Input 6]]</f>
        <v>0</v>
      </c>
      <c r="CZ53" s="42">
        <f>-IslandModel_1000P[[#This Row],[Input 6 Consumed]]</f>
        <v>0</v>
      </c>
      <c r="DA53" s="42">
        <f>IslandModel_1000P[[#This Row],[Input 7]]</f>
        <v>0</v>
      </c>
      <c r="DB53" s="42">
        <f>-IslandModel_1000P[[#This Row],[Input 7 Consumed]]</f>
        <v>0</v>
      </c>
      <c r="DC53" s="42">
        <f>IslandModel_1000P[[#This Row],[Input 8]]</f>
        <v>0</v>
      </c>
      <c r="DD53" s="42">
        <f>-IslandModel_1000P[[#This Row],[Input 8 Consumed]]</f>
        <v>0</v>
      </c>
      <c r="DE53" s="42">
        <f>IslandModel_1000P[[#This Row],[Input 9]]</f>
        <v>0</v>
      </c>
      <c r="DF53" s="42">
        <f>-IslandModel_1000P[[#This Row],[Input 9 Consumed]]</f>
        <v>0</v>
      </c>
      <c r="DG53" s="42">
        <f>IslandModel_1000P[[#This Row],[Input 10]]</f>
        <v>0</v>
      </c>
      <c r="DH53" s="42">
        <f>-IslandModel_1000P[[#This Row],[Input 10 Consumed]]</f>
        <v>0</v>
      </c>
      <c r="DJ53" s="55" t="s">
        <v>465</v>
      </c>
      <c r="DK53" s="39">
        <f>SUM(SUMIFS(IslandModel_1000P[Resource 1 Qty],IslandModel_1000P[Resource 1],ResourceAvailable_1000P[[#This Row],[Resource]]))</f>
        <v>1</v>
      </c>
      <c r="DL53"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53" s="39">
        <f>ResourceAvailable_1000P[[#This Row],[Amount Produced]]-ResourceAvailable_1000P[[#This Row],[Amount Consumed]]</f>
        <v>1</v>
      </c>
      <c r="DN53" s="20">
        <f>MAX(0,ResourceAvailable_1000P[[#This Row],[Amount Available for Resident Consumption]]-SUMIFS(ConsumptionModel_1000P[Resource Demand],ConsumptionModel_1000P[Resource],ResourceAvailable_1000P[[#This Row],[Resource]]))</f>
        <v>1</v>
      </c>
    </row>
    <row r="54" spans="2:118" ht="21" x14ac:dyDescent="0.65">
      <c r="B54" s="170">
        <f>ROW()</f>
        <v>54</v>
      </c>
      <c r="C54" s="171">
        <f>INDEX(ConsumptionModelInputs_1000P[Quantity],MATCH(ConsumptionModel_1000P[[#This Row],[Building]],ConsumptionModelInputs_1000P[Building],0))</f>
        <v>34</v>
      </c>
      <c r="D54" s="172" t="s">
        <v>59</v>
      </c>
      <c r="E54" s="172" t="s">
        <v>116</v>
      </c>
      <c r="F54" s="173" t="str">
        <f>IF(OR(ISBLANK(ConsumptionModel_1000P[[#This Row],[Building]]),ISBLANK(ConsumptionModel_1000P[[#This Row],[Resource]]))," - ",INDEX(Consumption[Type],MATCH(ConsumptionModel_1000P[[#This Row],[LookupValue]],Consumption[LookupValue],0)))</f>
        <v>Need</v>
      </c>
      <c r="G54" s="174" t="str">
        <f>IF(OR(ISBLANK(ConsumptionModel_1000P[[#This Row],[Building]]),ISBLANK(ConsumptionModel_1000P[[#This Row],[Resource]]))," - ",ConsumptionModel_1000P[[#This Row],[Building]]&amp;" - "&amp;ConsumptionModel_1000P[[#This Row],[Resource]])</f>
        <v>Paragon's Residence - Cigar</v>
      </c>
      <c r="H54" s="175">
        <f>ConsumptionModel_1000P[[#This Row],[Quantity]]*INDEX(Consumption[Consumption/person/h],MATCH(ConsumptionModel_1000P[[#This Row],[LookupValue]],Consumption[LookupValue],0))*IFERROR(INDEX(ResidentBuildings[Residents],MATCH(ConsumptionModel_1000P[[#This Row],[Building]],ResidentBuildings[Building],0)),0)</f>
        <v>153</v>
      </c>
      <c r="I54" s="175">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165</v>
      </c>
      <c r="J54" s="176">
        <f>IF(ConsumptionModel_1000P[[#This Row],[Quantity]]=0,"",IF(AND(ConsumptionModel_1000P[[#This Row],[Resource Demand]]=0,ConsumptionModel_1000P[[#This Row],[Resource Available]]&gt;0),1,MIN(1,IFERROR(ConsumptionModel_1000P[[#This Row],[Resource Available]]/ConsumptionModel_1000P[[#This Row],[Resource Demand]],0))))</f>
        <v>1</v>
      </c>
      <c r="K54" s="177">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54" s="197"/>
      <c r="P54" s="71">
        <f>SUMIFS(ResourceAvailable_1000P[Amount Produced],ResourceAvailable_1000P[Resource],ResourceMonitor_1000P[[#This Row],[Resource]])</f>
        <v>0</v>
      </c>
      <c r="Q54" s="71">
        <f>SUMIFS(ResourceAvailable_1000P[Amount Consumed],ResourceAvailable_1000P[Resource],ResourceMonitor_1000P[[#This Row],[Resource]])</f>
        <v>0</v>
      </c>
      <c r="R54" s="71">
        <f>SUMIFS(ResourceAvailable_1000P[Amount Available for Resident Consumption],ResourceAvailable_1000P[Resource],ResourceMonitor_1000P[[#This Row],[Resource]])</f>
        <v>0</v>
      </c>
      <c r="S54" s="39">
        <f>MAX(0,ResourceMonitor_1000P[[#This Row],[Amount Available for Resident Consumption]]-SUMIFS(ConsumptionModel_1000P[Resource Demand],ConsumptionModel_1000P[Resource],ResourceMonitor_1000P[[#This Row],[Resource]]))</f>
        <v>0</v>
      </c>
      <c r="T54" s="39">
        <f>MIN(0,ResourceMonitor_1000P[[#This Row],[Amount Available for Resident Consumption]]-SUMIFS(ConsumptionModel_1000P[Resource Demand],ConsumptionModel_1000P[Resource],ResourceMonitor_1000P[[#This Row],[Resource]]))</f>
        <v>0</v>
      </c>
      <c r="U54" s="122">
        <f>IFERROR(INDEX(#REF!,MATCH(ResourceMonitor_1000P[[#This Row],[Resource]],#REF!,0)),0)</f>
        <v>0</v>
      </c>
      <c r="V54" s="194">
        <f>IFERROR(ResourceMonitor_1000P[[#This Row],[Amount Produced]]/ResourceMonitor_1000P[[#This Row],[Production Target]],0)</f>
        <v>0</v>
      </c>
      <c r="W54" s="133"/>
      <c r="X54" s="47">
        <f>IF(ResourceMonitor_1000P[[#This Row],[Ignore shipping needs?]]="Yes",0,ROUNDUP(ResourceMonitor_1000P[[#This Row],[Production Target]]/INDEX(ShipRequirementCalculator[Cargo capacity/h (return, 50% empty)],MATCH($X$15,ShipRequirementCalculator[Ship],0)),0))</f>
        <v>0</v>
      </c>
      <c r="Y54" s="47">
        <f>IF(ResourceMonitor_1000P[[#This Row],[Ignore shipping needs?]]="Yes",0,ROUNDUP(ResourceMonitor_1000P[[#This Row],[Production Target]]/INDEX(ShipRequirementCalculator[Cargo capacity/h (return, 50% empty)],MATCH($Y$15,ShipRequirementCalculator[Ship],0)),0))</f>
        <v>0</v>
      </c>
      <c r="Z54" s="47">
        <f>IF(ResourceMonitor_1000P[[#This Row],[Ignore shipping needs?]]="Yes",0,ROUNDUP(ResourceMonitor_1000P[[#This Row],[Production Target]]/INDEX(ShipRequirementCalculator[Cargo capacity/h (return, 50% empty)],MATCH($Z$15,ShipRequirementCalculator[Ship],0)),0))</f>
        <v>0</v>
      </c>
      <c r="AA54" s="124"/>
      <c r="AC54" s="103" t="s">
        <v>146</v>
      </c>
      <c r="AD54" s="83">
        <f>ROW()</f>
        <v>54</v>
      </c>
      <c r="AE54" s="74">
        <v>16</v>
      </c>
      <c r="AF54" s="50" t="s">
        <v>141</v>
      </c>
      <c r="AG54" s="18"/>
      <c r="AH54" s="74">
        <v>16</v>
      </c>
      <c r="AI54" s="156">
        <f>IFERROR(IslandModel_1000P[[#This Row],[Quantity]]/IslandModel_1000P[[#This Row],[Target Quantity]],0)</f>
        <v>1</v>
      </c>
      <c r="AJ54" s="61" t="str">
        <f>IFERROR(INDEX(Production[Resource Produced],MATCH(IslandModel_1000P[[#This Row],[Building]],Production[Building],0)),"")</f>
        <v>Hops</v>
      </c>
      <c r="AK54" s="99">
        <f>IFERROR(IslandModel_1000P[[#This Row],[Quantity]]*INDEX(Production[Production in 1h],MATCH(IslandModel_1000P[[#This Row],[Building]],Production[Building],0))*IslandModel_1000P[[#This Row],[Input Consumption Multiplier]],0)</f>
        <v>480</v>
      </c>
      <c r="AL54" s="115">
        <f>100%</f>
        <v>1</v>
      </c>
      <c r="AM54"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54" s="77" t="str">
        <f>IFERROR(INDEX(Production[Input 1],MATCH(IslandModel_1000P[[#This Row],[Building]],Production[Building],0)),"")</f>
        <v>Hop Field</v>
      </c>
      <c r="AO54" s="78"/>
      <c r="AP54"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128</v>
      </c>
      <c r="AQ54"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128</v>
      </c>
      <c r="AR54"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128</v>
      </c>
      <c r="AS54" s="35">
        <f>IFERROR(INDEX(Production[Input 2],MATCH(IslandModel_1000P[[#This Row],[Building]],Production[Building],0)),"")</f>
        <v>0</v>
      </c>
      <c r="AT54" s="78"/>
      <c r="AU54"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54"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54"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54" s="35">
        <f>IFERROR(INDEX(Production[Input 3],MATCH(IslandModel_1000P[[#This Row],[Building]],Production[Building],0)),"")</f>
        <v>0</v>
      </c>
      <c r="AY54" s="78"/>
      <c r="AZ54"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54"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54"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54" s="35">
        <f>IFERROR(INDEX(Production[Input 4],MATCH(IslandModel_1000P[[#This Row],[Building]],Production[Building],0)),"")</f>
        <v>0</v>
      </c>
      <c r="BD54" s="78"/>
      <c r="BE54"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54"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54"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54" s="35">
        <f>IFERROR(INDEX(Production[Input 5],MATCH(IslandModel_1000P[[#This Row],[Building]],Production[Building],0)),"")</f>
        <v>0</v>
      </c>
      <c r="BI54" s="78"/>
      <c r="BJ54"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54"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54"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54" s="35">
        <f>IFERROR(INDEX(Production[Input 6],MATCH(IslandModel_1000P[[#This Row],[Building]],Production[Building],0)),"")</f>
        <v>0</v>
      </c>
      <c r="BN54" s="78"/>
      <c r="BO54"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54"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54"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54" s="35">
        <f>IFERROR(INDEX(Production[Input 7],MATCH(IslandModel_1000P[[#This Row],[Building]],Production[Building],0)),"")</f>
        <v>0</v>
      </c>
      <c r="BS54" s="78"/>
      <c r="BT54"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54"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54"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54" s="35">
        <f>IFERROR(INDEX(Production[Input 8],MATCH(IslandModel_1000P[[#This Row],[Building]],Production[Building],0)),"")</f>
        <v>0</v>
      </c>
      <c r="BX54" s="78"/>
      <c r="BY54"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54"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54"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54" s="35">
        <f>IFERROR(INDEX(Production[Input 9],MATCH(IslandModel_1000P[[#This Row],[Building]],Production[Building],0)),"")</f>
        <v>0</v>
      </c>
      <c r="CC54" s="78"/>
      <c r="CD54"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54"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54"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54" s="35">
        <f>IFERROR(INDEX(Production[Input 10],MATCH(IslandModel_1000P[[#This Row],[Building]],Production[Building],0)),"")</f>
        <v>0</v>
      </c>
      <c r="CH54" s="78"/>
      <c r="CI54"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54"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54"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54"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54" s="82" t="str">
        <f>IslandModel_1000P[[#This Row],[Resource Produced]]</f>
        <v>Hops</v>
      </c>
      <c r="CN54" s="42">
        <f>IslandModel_1000P[[#This Row],[Amount produced/h]]</f>
        <v>480</v>
      </c>
      <c r="CO54" s="42" t="str">
        <f>IslandModel_1000P[[#This Row],[Input 1]]</f>
        <v>Hop Field</v>
      </c>
      <c r="CP54" s="42">
        <f>-IslandModel_1000P[[#This Row],[Input 1 Consumed]]</f>
        <v>-128</v>
      </c>
      <c r="CQ54" s="42">
        <f>IslandModel_1000P[[#This Row],[Input 2]]</f>
        <v>0</v>
      </c>
      <c r="CR54" s="42">
        <f>-IslandModel_1000P[[#This Row],[Input 2 Consumed]]</f>
        <v>0</v>
      </c>
      <c r="CS54" s="42">
        <f>IslandModel_1000P[[#This Row],[Input 3]]</f>
        <v>0</v>
      </c>
      <c r="CT54" s="42">
        <f>-IslandModel_1000P[[#This Row],[Input 3 Consumed]]</f>
        <v>0</v>
      </c>
      <c r="CU54" s="42">
        <f>IslandModel_1000P[[#This Row],[Input 4]]</f>
        <v>0</v>
      </c>
      <c r="CV54" s="42">
        <f>-IslandModel_1000P[[#This Row],[Input 4 Consumed]]</f>
        <v>0</v>
      </c>
      <c r="CW54" s="42">
        <f>IslandModel_1000P[[#This Row],[Input 5]]</f>
        <v>0</v>
      </c>
      <c r="CX54" s="42">
        <f>-IslandModel_1000P[[#This Row],[Input 5 Consumed]]</f>
        <v>0</v>
      </c>
      <c r="CY54" s="42">
        <f>IslandModel_1000P[[#This Row],[Input 6]]</f>
        <v>0</v>
      </c>
      <c r="CZ54" s="42">
        <f>-IslandModel_1000P[[#This Row],[Input 6 Consumed]]</f>
        <v>0</v>
      </c>
      <c r="DA54" s="42">
        <f>IslandModel_1000P[[#This Row],[Input 7]]</f>
        <v>0</v>
      </c>
      <c r="DB54" s="42">
        <f>-IslandModel_1000P[[#This Row],[Input 7 Consumed]]</f>
        <v>0</v>
      </c>
      <c r="DC54" s="42">
        <f>IslandModel_1000P[[#This Row],[Input 8]]</f>
        <v>0</v>
      </c>
      <c r="DD54" s="42">
        <f>-IslandModel_1000P[[#This Row],[Input 8 Consumed]]</f>
        <v>0</v>
      </c>
      <c r="DE54" s="42">
        <f>IslandModel_1000P[[#This Row],[Input 9]]</f>
        <v>0</v>
      </c>
      <c r="DF54" s="42">
        <f>-IslandModel_1000P[[#This Row],[Input 9 Consumed]]</f>
        <v>0</v>
      </c>
      <c r="DG54" s="42">
        <f>IslandModel_1000P[[#This Row],[Input 10]]</f>
        <v>0</v>
      </c>
      <c r="DH54" s="42">
        <f>-IslandModel_1000P[[#This Row],[Input 10 Consumed]]</f>
        <v>0</v>
      </c>
      <c r="DJ54" s="55" t="s">
        <v>652</v>
      </c>
      <c r="DK54" s="39">
        <f>SUM(SUMIFS(IslandModel_1000P[Resource 1 Qty],IslandModel_1000P[Resource 1],ResourceAvailable_1000P[[#This Row],[Resource]]))</f>
        <v>1</v>
      </c>
      <c r="DL54"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54" s="39">
        <f>ResourceAvailable_1000P[[#This Row],[Amount Produced]]-ResourceAvailable_1000P[[#This Row],[Amount Consumed]]</f>
        <v>1</v>
      </c>
      <c r="DN54" s="20">
        <f>MAX(0,ResourceAvailable_1000P[[#This Row],[Amount Available for Resident Consumption]]-SUMIFS(ConsumptionModel_1000P[Resource Demand],ConsumptionModel_1000P[Resource],ResourceAvailable_1000P[[#This Row],[Resource]]))</f>
        <v>1</v>
      </c>
    </row>
    <row r="55" spans="2:118" ht="21" x14ac:dyDescent="0.65">
      <c r="B55" s="178">
        <f>ROW()</f>
        <v>55</v>
      </c>
      <c r="C55" s="70">
        <f>INDEX(ConsumptionModelInputs_1000P[Quantity],MATCH(ConsumptionModel_1000P[[#This Row],[Building]],ConsumptionModelInputs_1000P[Building],0))</f>
        <v>34</v>
      </c>
      <c r="D55" s="179" t="s">
        <v>59</v>
      </c>
      <c r="E55" s="179" t="s">
        <v>137</v>
      </c>
      <c r="F55" s="64" t="str">
        <f>IF(OR(ISBLANK(ConsumptionModel_1000P[[#This Row],[Building]]),ISBLANK(ConsumptionModel_1000P[[#This Row],[Resource]]))," - ",INDEX(Consumption[Type],MATCH(ConsumptionModel_1000P[[#This Row],[LookupValue]],Consumption[LookupValue],0)))</f>
        <v>Need</v>
      </c>
      <c r="G55" s="61" t="str">
        <f>IF(OR(ISBLANK(ConsumptionModel_1000P[[#This Row],[Building]]),ISBLANK(ConsumptionModel_1000P[[#This Row],[Resource]]))," - ",ConsumptionModel_1000P[[#This Row],[Building]]&amp;" - "&amp;ConsumptionModel_1000P[[#This Row],[Resource]])</f>
        <v>Paragon's Residence - Clothes</v>
      </c>
      <c r="H55" s="62">
        <f>ConsumptionModel_1000P[[#This Row],[Quantity]]*INDEX(Consumption[Consumption/person/h],MATCH(ConsumptionModel_1000P[[#This Row],[LookupValue]],Consumption[LookupValue],0))*IFERROR(INDEX(ResidentBuildings[Residents],MATCH(ConsumptionModel_1000P[[#This Row],[Building]],ResidentBuildings[Building],0)),0)</f>
        <v>122.4</v>
      </c>
      <c r="I55"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129</v>
      </c>
      <c r="J55" s="65">
        <f>IF(ConsumptionModel_1000P[[#This Row],[Quantity]]=0,"",IF(AND(ConsumptionModel_1000P[[#This Row],[Resource Demand]]=0,ConsumptionModel_1000P[[#This Row],[Resource Available]]&gt;0),1,MIN(1,IFERROR(ConsumptionModel_1000P[[#This Row],[Resource Available]]/ConsumptionModel_1000P[[#This Row],[Resource Demand]],0))))</f>
        <v>1</v>
      </c>
      <c r="K55"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55" s="197"/>
      <c r="P55" s="71">
        <f>SUMIFS(ResourceAvailable_1000P[Amount Produced],ResourceAvailable_1000P[Resource],ResourceMonitor_1000P[[#This Row],[Resource]])</f>
        <v>0</v>
      </c>
      <c r="Q55" s="71">
        <f>SUMIFS(ResourceAvailable_1000P[Amount Consumed],ResourceAvailable_1000P[Resource],ResourceMonitor_1000P[[#This Row],[Resource]])</f>
        <v>0</v>
      </c>
      <c r="R55" s="71">
        <f>SUMIFS(ResourceAvailable_1000P[Amount Available for Resident Consumption],ResourceAvailable_1000P[Resource],ResourceMonitor_1000P[[#This Row],[Resource]])</f>
        <v>0</v>
      </c>
      <c r="S55" s="39">
        <f>MAX(0,ResourceMonitor_1000P[[#This Row],[Amount Available for Resident Consumption]]-SUMIFS(ConsumptionModel_1000P[Resource Demand],ConsumptionModel_1000P[Resource],ResourceMonitor_1000P[[#This Row],[Resource]]))</f>
        <v>0</v>
      </c>
      <c r="T55" s="39">
        <f>MIN(0,ResourceMonitor_1000P[[#This Row],[Amount Available for Resident Consumption]]-SUMIFS(ConsumptionModel_1000P[Resource Demand],ConsumptionModel_1000P[Resource],ResourceMonitor_1000P[[#This Row],[Resource]]))</f>
        <v>0</v>
      </c>
      <c r="U55" s="122">
        <f>IFERROR(INDEX(#REF!,MATCH(ResourceMonitor_1000P[[#This Row],[Resource]],#REF!,0)),0)</f>
        <v>0</v>
      </c>
      <c r="V55" s="194">
        <f>IFERROR(ResourceMonitor_1000P[[#This Row],[Amount Produced]]/ResourceMonitor_1000P[[#This Row],[Production Target]],0)</f>
        <v>0</v>
      </c>
      <c r="W55" s="133"/>
      <c r="X55" s="47">
        <f>IF(ResourceMonitor_1000P[[#This Row],[Ignore shipping needs?]]="Yes",0,ROUNDUP(ResourceMonitor_1000P[[#This Row],[Production Target]]/INDEX(ShipRequirementCalculator[Cargo capacity/h (return, 50% empty)],MATCH($X$15,ShipRequirementCalculator[Ship],0)),0))</f>
        <v>0</v>
      </c>
      <c r="Y55" s="47">
        <f>IF(ResourceMonitor_1000P[[#This Row],[Ignore shipping needs?]]="Yes",0,ROUNDUP(ResourceMonitor_1000P[[#This Row],[Production Target]]/INDEX(ShipRequirementCalculator[Cargo capacity/h (return, 50% empty)],MATCH($Y$15,ShipRequirementCalculator[Ship],0)),0))</f>
        <v>0</v>
      </c>
      <c r="Z55" s="47">
        <f>IF(ResourceMonitor_1000P[[#This Row],[Ignore shipping needs?]]="Yes",0,ROUNDUP(ResourceMonitor_1000P[[#This Row],[Production Target]]/INDEX(ShipRequirementCalculator[Cargo capacity/h (return, 50% empty)],MATCH($Z$15,ShipRequirementCalculator[Ship],0)),0))</f>
        <v>0</v>
      </c>
      <c r="AA55" s="124"/>
      <c r="AC55" s="103" t="s">
        <v>146</v>
      </c>
      <c r="AD55" s="83">
        <f>ROW()</f>
        <v>55</v>
      </c>
      <c r="AE55" s="169">
        <f>AE56*8</f>
        <v>88</v>
      </c>
      <c r="AF55" s="50" t="s">
        <v>101</v>
      </c>
      <c r="AG55" s="18"/>
      <c r="AH55" s="169">
        <f>AH56*8</f>
        <v>88</v>
      </c>
      <c r="AI55" s="156">
        <f>IFERROR(IslandModel_1000P[[#This Row],[Quantity]]/IslandModel_1000P[[#This Row],[Target Quantity]],0)</f>
        <v>1</v>
      </c>
      <c r="AJ55" s="61" t="str">
        <f>IFERROR(INDEX(Production[Resource Produced],MATCH(IslandModel_1000P[[#This Row],[Building]],Production[Building],0)),"")</f>
        <v>Wheat Field</v>
      </c>
      <c r="AK55" s="99">
        <f>IFERROR(IslandModel_1000P[[#This Row],[Quantity]]*INDEX(Production[Production in 1h],MATCH(IslandModel_1000P[[#This Row],[Building]],Production[Building],0))*IslandModel_1000P[[#This Row],[Input Consumption Multiplier]],0)</f>
        <v>88</v>
      </c>
      <c r="AL55" s="115">
        <f>100%</f>
        <v>1</v>
      </c>
      <c r="AM55"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55" s="77" t="str">
        <f>IFERROR(INDEX(Production[Input 1],MATCH(IslandModel_1000P[[#This Row],[Building]],Production[Building],0)),"")</f>
        <v>Land tile</v>
      </c>
      <c r="AO55" s="78"/>
      <c r="AP55"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88</v>
      </c>
      <c r="AQ55"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2058.5</v>
      </c>
      <c r="AR55"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88</v>
      </c>
      <c r="AS55" s="35">
        <f>IFERROR(INDEX(Production[Input 2],MATCH(IslandModel_1000P[[#This Row],[Building]],Production[Building],0)),"")</f>
        <v>0</v>
      </c>
      <c r="AT55" s="78"/>
      <c r="AU55"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55"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55"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55" s="35">
        <f>IFERROR(INDEX(Production[Input 3],MATCH(IslandModel_1000P[[#This Row],[Building]],Production[Building],0)),"")</f>
        <v>0</v>
      </c>
      <c r="AY55" s="78"/>
      <c r="AZ55"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55"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55"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55" s="35">
        <f>IFERROR(INDEX(Production[Input 4],MATCH(IslandModel_1000P[[#This Row],[Building]],Production[Building],0)),"")</f>
        <v>0</v>
      </c>
      <c r="BD55" s="78"/>
      <c r="BE55"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55"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55"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55" s="35">
        <f>IFERROR(INDEX(Production[Input 5],MATCH(IslandModel_1000P[[#This Row],[Building]],Production[Building],0)),"")</f>
        <v>0</v>
      </c>
      <c r="BI55" s="78"/>
      <c r="BJ55"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55"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55"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55" s="35">
        <f>IFERROR(INDEX(Production[Input 6],MATCH(IslandModel_1000P[[#This Row],[Building]],Production[Building],0)),"")</f>
        <v>0</v>
      </c>
      <c r="BN55" s="78"/>
      <c r="BO55"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55"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55"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55" s="35">
        <f>IFERROR(INDEX(Production[Input 7],MATCH(IslandModel_1000P[[#This Row],[Building]],Production[Building],0)),"")</f>
        <v>0</v>
      </c>
      <c r="BS55" s="78"/>
      <c r="BT55"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55"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55"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55" s="35">
        <f>IFERROR(INDEX(Production[Input 8],MATCH(IslandModel_1000P[[#This Row],[Building]],Production[Building],0)),"")</f>
        <v>0</v>
      </c>
      <c r="BX55" s="78"/>
      <c r="BY55"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55"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55"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55" s="35">
        <f>IFERROR(INDEX(Production[Input 9],MATCH(IslandModel_1000P[[#This Row],[Building]],Production[Building],0)),"")</f>
        <v>0</v>
      </c>
      <c r="CC55" s="78"/>
      <c r="CD55"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55"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55"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55" s="35">
        <f>IFERROR(INDEX(Production[Input 10],MATCH(IslandModel_1000P[[#This Row],[Building]],Production[Building],0)),"")</f>
        <v>0</v>
      </c>
      <c r="CH55" s="78"/>
      <c r="CI55"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55"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55"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55"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55" s="82" t="str">
        <f>IslandModel_1000P[[#This Row],[Resource Produced]]</f>
        <v>Wheat Field</v>
      </c>
      <c r="CN55" s="42">
        <f>IslandModel_1000P[[#This Row],[Amount produced/h]]</f>
        <v>88</v>
      </c>
      <c r="CO55" s="42" t="str">
        <f>IslandModel_1000P[[#This Row],[Input 1]]</f>
        <v>Land tile</v>
      </c>
      <c r="CP55" s="42">
        <f>-IslandModel_1000P[[#This Row],[Input 1 Consumed]]</f>
        <v>-88</v>
      </c>
      <c r="CQ55" s="42">
        <f>IslandModel_1000P[[#This Row],[Input 2]]</f>
        <v>0</v>
      </c>
      <c r="CR55" s="42">
        <f>-IslandModel_1000P[[#This Row],[Input 2 Consumed]]</f>
        <v>0</v>
      </c>
      <c r="CS55" s="42">
        <f>IslandModel_1000P[[#This Row],[Input 3]]</f>
        <v>0</v>
      </c>
      <c r="CT55" s="42">
        <f>-IslandModel_1000P[[#This Row],[Input 3 Consumed]]</f>
        <v>0</v>
      </c>
      <c r="CU55" s="42">
        <f>IslandModel_1000P[[#This Row],[Input 4]]</f>
        <v>0</v>
      </c>
      <c r="CV55" s="42">
        <f>-IslandModel_1000P[[#This Row],[Input 4 Consumed]]</f>
        <v>0</v>
      </c>
      <c r="CW55" s="42">
        <f>IslandModel_1000P[[#This Row],[Input 5]]</f>
        <v>0</v>
      </c>
      <c r="CX55" s="42">
        <f>-IslandModel_1000P[[#This Row],[Input 5 Consumed]]</f>
        <v>0</v>
      </c>
      <c r="CY55" s="42">
        <f>IslandModel_1000P[[#This Row],[Input 6]]</f>
        <v>0</v>
      </c>
      <c r="CZ55" s="42">
        <f>-IslandModel_1000P[[#This Row],[Input 6 Consumed]]</f>
        <v>0</v>
      </c>
      <c r="DA55" s="42">
        <f>IslandModel_1000P[[#This Row],[Input 7]]</f>
        <v>0</v>
      </c>
      <c r="DB55" s="42">
        <f>-IslandModel_1000P[[#This Row],[Input 7 Consumed]]</f>
        <v>0</v>
      </c>
      <c r="DC55" s="42">
        <f>IslandModel_1000P[[#This Row],[Input 8]]</f>
        <v>0</v>
      </c>
      <c r="DD55" s="42">
        <f>-IslandModel_1000P[[#This Row],[Input 8 Consumed]]</f>
        <v>0</v>
      </c>
      <c r="DE55" s="42">
        <f>IslandModel_1000P[[#This Row],[Input 9]]</f>
        <v>0</v>
      </c>
      <c r="DF55" s="42">
        <f>-IslandModel_1000P[[#This Row],[Input 9 Consumed]]</f>
        <v>0</v>
      </c>
      <c r="DG55" s="42">
        <f>IslandModel_1000P[[#This Row],[Input 10]]</f>
        <v>0</v>
      </c>
      <c r="DH55" s="42">
        <f>-IslandModel_1000P[[#This Row],[Input 10 Consumed]]</f>
        <v>0</v>
      </c>
      <c r="DJ55" t="s">
        <v>367</v>
      </c>
      <c r="DK55" s="39">
        <f>SUM(SUMIFS(IslandModel_1000P[Resource 1 Qty],IslandModel_1000P[Resource 1],ResourceAvailable_1000P[[#This Row],[Resource]]))</f>
        <v>720</v>
      </c>
      <c r="DL55"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660</v>
      </c>
      <c r="DM55" s="39">
        <f>ResourceAvailable_1000P[[#This Row],[Amount Produced]]-ResourceAvailable_1000P[[#This Row],[Amount Consumed]]</f>
        <v>60</v>
      </c>
      <c r="DN55" s="20">
        <f>MAX(0,ResourceAvailable_1000P[[#This Row],[Amount Available for Resident Consumption]]-SUMIFS(ConsumptionModel_1000P[Resource Demand],ConsumptionModel_1000P[Resource],ResourceAvailable_1000P[[#This Row],[Resource]]))</f>
        <v>15</v>
      </c>
    </row>
    <row r="56" spans="2:118" ht="21" x14ac:dyDescent="0.65">
      <c r="B56" s="178">
        <f>ROW()</f>
        <v>56</v>
      </c>
      <c r="C56" s="70">
        <f>INDEX(ConsumptionModelInputs_1000P[Quantity],MATCH(ConsumptionModel_1000P[[#This Row],[Building]],ConsumptionModelInputs_1000P[Building],0))</f>
        <v>34</v>
      </c>
      <c r="D56" s="179" t="s">
        <v>59</v>
      </c>
      <c r="E56" s="179" t="s">
        <v>146</v>
      </c>
      <c r="F56" s="64" t="str">
        <f>IF(OR(ISBLANK(ConsumptionModel_1000P[[#This Row],[Building]]),ISBLANK(ConsumptionModel_1000P[[#This Row],[Resource]]))," - ",INDEX(Consumption[Type],MATCH(ConsumptionModel_1000P[[#This Row],[LookupValue]],Consumption[LookupValue],0)))</f>
        <v>Need</v>
      </c>
      <c r="G56" s="61" t="str">
        <f>IF(OR(ISBLANK(ConsumptionModel_1000P[[#This Row],[Building]]),ISBLANK(ConsumptionModel_1000P[[#This Row],[Resource]]))," - ",ConsumptionModel_1000P[[#This Row],[Building]]&amp;" - "&amp;ConsumptionModel_1000P[[#This Row],[Resource]])</f>
        <v>Paragon's Residence - Beer</v>
      </c>
      <c r="H56" s="62">
        <f>ConsumptionModel_1000P[[#This Row],[Quantity]]*INDEX(Consumption[Consumption/person/h],MATCH(ConsumptionModel_1000P[[#This Row],[LookupValue]],Consumption[LookupValue],0))*IFERROR(INDEX(ResidentBuildings[Residents],MATCH(ConsumptionModel_1000P[[#This Row],[Building]],ResidentBuildings[Building],0)),0)</f>
        <v>244.8</v>
      </c>
      <c r="I56"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248</v>
      </c>
      <c r="J56" s="65">
        <f>IF(ConsumptionModel_1000P[[#This Row],[Quantity]]=0,"",IF(AND(ConsumptionModel_1000P[[#This Row],[Resource Demand]]=0,ConsumptionModel_1000P[[#This Row],[Resource Available]]&gt;0),1,MIN(1,IFERROR(ConsumptionModel_1000P[[#This Row],[Resource Available]]/ConsumptionModel_1000P[[#This Row],[Resource Demand]],0))))</f>
        <v>1</v>
      </c>
      <c r="K56"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56" s="197"/>
      <c r="P56" s="71">
        <f>SUMIFS(ResourceAvailable_1000P[Amount Produced],ResourceAvailable_1000P[Resource],ResourceMonitor_1000P[[#This Row],[Resource]])</f>
        <v>0</v>
      </c>
      <c r="Q56" s="71">
        <f>SUMIFS(ResourceAvailable_1000P[Amount Consumed],ResourceAvailable_1000P[Resource],ResourceMonitor_1000P[[#This Row],[Resource]])</f>
        <v>0</v>
      </c>
      <c r="R56" s="71">
        <f>SUMIFS(ResourceAvailable_1000P[Amount Available for Resident Consumption],ResourceAvailable_1000P[Resource],ResourceMonitor_1000P[[#This Row],[Resource]])</f>
        <v>0</v>
      </c>
      <c r="S56" s="39">
        <f>MAX(0,ResourceMonitor_1000P[[#This Row],[Amount Available for Resident Consumption]]-SUMIFS(ConsumptionModel_1000P[Resource Demand],ConsumptionModel_1000P[Resource],ResourceMonitor_1000P[[#This Row],[Resource]]))</f>
        <v>0</v>
      </c>
      <c r="T56" s="39">
        <f>MIN(0,ResourceMonitor_1000P[[#This Row],[Amount Available for Resident Consumption]]-SUMIFS(ConsumptionModel_1000P[Resource Demand],ConsumptionModel_1000P[Resource],ResourceMonitor_1000P[[#This Row],[Resource]]))</f>
        <v>0</v>
      </c>
      <c r="U56" s="122">
        <f>IFERROR(INDEX(#REF!,MATCH(ResourceMonitor_1000P[[#This Row],[Resource]],#REF!,0)),0)</f>
        <v>0</v>
      </c>
      <c r="V56" s="194">
        <f>IFERROR(ResourceMonitor_1000P[[#This Row],[Amount Produced]]/ResourceMonitor_1000P[[#This Row],[Production Target]],0)</f>
        <v>0</v>
      </c>
      <c r="W56" s="133"/>
      <c r="X56" s="47">
        <f>IF(ResourceMonitor_1000P[[#This Row],[Ignore shipping needs?]]="Yes",0,ROUNDUP(ResourceMonitor_1000P[[#This Row],[Production Target]]/INDEX(ShipRequirementCalculator[Cargo capacity/h (return, 50% empty)],MATCH($X$15,ShipRequirementCalculator[Ship],0)),0))</f>
        <v>0</v>
      </c>
      <c r="Y56" s="47">
        <f>IF(ResourceMonitor_1000P[[#This Row],[Ignore shipping needs?]]="Yes",0,ROUNDUP(ResourceMonitor_1000P[[#This Row],[Production Target]]/INDEX(ShipRequirementCalculator[Cargo capacity/h (return, 50% empty)],MATCH($Y$15,ShipRequirementCalculator[Ship],0)),0))</f>
        <v>0</v>
      </c>
      <c r="Z56" s="47">
        <f>IF(ResourceMonitor_1000P[[#This Row],[Ignore shipping needs?]]="Yes",0,ROUNDUP(ResourceMonitor_1000P[[#This Row],[Production Target]]/INDEX(ShipRequirementCalculator[Cargo capacity/h (return, 50% empty)],MATCH($Z$15,ShipRequirementCalculator[Ship],0)),0))</f>
        <v>0</v>
      </c>
      <c r="AA56" s="124"/>
      <c r="AC56" s="103" t="s">
        <v>146</v>
      </c>
      <c r="AD56" s="83">
        <f>ROW()</f>
        <v>56</v>
      </c>
      <c r="AE56" s="74">
        <v>11</v>
      </c>
      <c r="AF56" s="50" t="s">
        <v>103</v>
      </c>
      <c r="AG56" s="18"/>
      <c r="AH56" s="74">
        <v>11</v>
      </c>
      <c r="AI56" s="156">
        <f>IFERROR(IslandModel_1000P[[#This Row],[Quantity]]/IslandModel_1000P[[#This Row],[Target Quantity]],0)</f>
        <v>1</v>
      </c>
      <c r="AJ56" s="61" t="str">
        <f>IFERROR(INDEX(Production[Resource Produced],MATCH(IslandModel_1000P[[#This Row],[Building]],Production[Building],0)),"")</f>
        <v>Wheat</v>
      </c>
      <c r="AK56" s="99">
        <f>IFERROR(IslandModel_1000P[[#This Row],[Quantity]]*INDEX(Production[Production in 1h],MATCH(IslandModel_1000P[[#This Row],[Building]],Production[Building],0))*IslandModel_1000P[[#This Row],[Input Consumption Multiplier]],0)</f>
        <v>330</v>
      </c>
      <c r="AL56" s="115">
        <f>100%</f>
        <v>1</v>
      </c>
      <c r="AM56"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56" s="77" t="str">
        <f>IFERROR(INDEX(Production[Input 1],MATCH(IslandModel_1000P[[#This Row],[Building]],Production[Building],0)),"")</f>
        <v>Land tile</v>
      </c>
      <c r="AO56" s="78"/>
      <c r="AP56"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11</v>
      </c>
      <c r="AQ56"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1970.5</v>
      </c>
      <c r="AR56"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11</v>
      </c>
      <c r="AS56" s="35" t="str">
        <f>IFERROR(INDEX(Production[Input 2],MATCH(IslandModel_1000P[[#This Row],[Building]],Production[Building],0)),"")</f>
        <v>Wheat Field</v>
      </c>
      <c r="AT56" s="78"/>
      <c r="AU56"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88</v>
      </c>
      <c r="AV56"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88</v>
      </c>
      <c r="AW56"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88</v>
      </c>
      <c r="AX56" s="35">
        <f>IFERROR(INDEX(Production[Input 3],MATCH(IslandModel_1000P[[#This Row],[Building]],Production[Building],0)),"")</f>
        <v>0</v>
      </c>
      <c r="AY56" s="78"/>
      <c r="AZ56"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56"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56"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56" s="35">
        <f>IFERROR(INDEX(Production[Input 4],MATCH(IslandModel_1000P[[#This Row],[Building]],Production[Building],0)),"")</f>
        <v>0</v>
      </c>
      <c r="BD56" s="78"/>
      <c r="BE56"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56"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56"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56" s="35">
        <f>IFERROR(INDEX(Production[Input 5],MATCH(IslandModel_1000P[[#This Row],[Building]],Production[Building],0)),"")</f>
        <v>0</v>
      </c>
      <c r="BI56" s="78"/>
      <c r="BJ56"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56"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56"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56" s="35">
        <f>IFERROR(INDEX(Production[Input 6],MATCH(IslandModel_1000P[[#This Row],[Building]],Production[Building],0)),"")</f>
        <v>0</v>
      </c>
      <c r="BN56" s="78"/>
      <c r="BO56"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56"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56"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56" s="35">
        <f>IFERROR(INDEX(Production[Input 7],MATCH(IslandModel_1000P[[#This Row],[Building]],Production[Building],0)),"")</f>
        <v>0</v>
      </c>
      <c r="BS56" s="78"/>
      <c r="BT56"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56"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56"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56" s="35">
        <f>IFERROR(INDEX(Production[Input 8],MATCH(IslandModel_1000P[[#This Row],[Building]],Production[Building],0)),"")</f>
        <v>0</v>
      </c>
      <c r="BX56" s="78"/>
      <c r="BY56"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56"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56"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56" s="35">
        <f>IFERROR(INDEX(Production[Input 9],MATCH(IslandModel_1000P[[#This Row],[Building]],Production[Building],0)),"")</f>
        <v>0</v>
      </c>
      <c r="CC56" s="78"/>
      <c r="CD56"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56"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56"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56" s="35">
        <f>IFERROR(INDEX(Production[Input 10],MATCH(IslandModel_1000P[[#This Row],[Building]],Production[Building],0)),"")</f>
        <v>0</v>
      </c>
      <c r="CH56" s="78"/>
      <c r="CI56"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56"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56"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56"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56" s="82" t="str">
        <f>IslandModel_1000P[[#This Row],[Resource Produced]]</f>
        <v>Wheat</v>
      </c>
      <c r="CN56" s="42">
        <f>IslandModel_1000P[[#This Row],[Amount produced/h]]</f>
        <v>330</v>
      </c>
      <c r="CO56" s="42" t="str">
        <f>IslandModel_1000P[[#This Row],[Input 1]]</f>
        <v>Land tile</v>
      </c>
      <c r="CP56" s="42">
        <f>-IslandModel_1000P[[#This Row],[Input 1 Consumed]]</f>
        <v>-11</v>
      </c>
      <c r="CQ56" s="42" t="str">
        <f>IslandModel_1000P[[#This Row],[Input 2]]</f>
        <v>Wheat Field</v>
      </c>
      <c r="CR56" s="42">
        <f>-IslandModel_1000P[[#This Row],[Input 2 Consumed]]</f>
        <v>-88</v>
      </c>
      <c r="CS56" s="42">
        <f>IslandModel_1000P[[#This Row],[Input 3]]</f>
        <v>0</v>
      </c>
      <c r="CT56" s="42">
        <f>-IslandModel_1000P[[#This Row],[Input 3 Consumed]]</f>
        <v>0</v>
      </c>
      <c r="CU56" s="42">
        <f>IslandModel_1000P[[#This Row],[Input 4]]</f>
        <v>0</v>
      </c>
      <c r="CV56" s="42">
        <f>-IslandModel_1000P[[#This Row],[Input 4 Consumed]]</f>
        <v>0</v>
      </c>
      <c r="CW56" s="42">
        <f>IslandModel_1000P[[#This Row],[Input 5]]</f>
        <v>0</v>
      </c>
      <c r="CX56" s="42">
        <f>-IslandModel_1000P[[#This Row],[Input 5 Consumed]]</f>
        <v>0</v>
      </c>
      <c r="CY56" s="42">
        <f>IslandModel_1000P[[#This Row],[Input 6]]</f>
        <v>0</v>
      </c>
      <c r="CZ56" s="42">
        <f>-IslandModel_1000P[[#This Row],[Input 6 Consumed]]</f>
        <v>0</v>
      </c>
      <c r="DA56" s="42">
        <f>IslandModel_1000P[[#This Row],[Input 7]]</f>
        <v>0</v>
      </c>
      <c r="DB56" s="42">
        <f>-IslandModel_1000P[[#This Row],[Input 7 Consumed]]</f>
        <v>0</v>
      </c>
      <c r="DC56" s="42">
        <f>IslandModel_1000P[[#This Row],[Input 8]]</f>
        <v>0</v>
      </c>
      <c r="DD56" s="42">
        <f>-IslandModel_1000P[[#This Row],[Input 8 Consumed]]</f>
        <v>0</v>
      </c>
      <c r="DE56" s="42">
        <f>IslandModel_1000P[[#This Row],[Input 9]]</f>
        <v>0</v>
      </c>
      <c r="DF56" s="42">
        <f>-IslandModel_1000P[[#This Row],[Input 9 Consumed]]</f>
        <v>0</v>
      </c>
      <c r="DG56" s="42">
        <f>IslandModel_1000P[[#This Row],[Input 10]]</f>
        <v>0</v>
      </c>
      <c r="DH56" s="42">
        <f>-IslandModel_1000P[[#This Row],[Input 10 Consumed]]</f>
        <v>0</v>
      </c>
      <c r="DJ56" s="55" t="s">
        <v>60</v>
      </c>
      <c r="DK56" s="39">
        <f>SUM(SUMIFS(IslandModel_1000P[Resource 1 Qty],IslandModel_1000P[Resource 1],ResourceAvailable_1000P[[#This Row],[Resource]]))</f>
        <v>0</v>
      </c>
      <c r="DL56"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56" s="39">
        <f>ResourceAvailable_1000P[[#This Row],[Amount Produced]]-ResourceAvailable_1000P[[#This Row],[Amount Consumed]]</f>
        <v>0</v>
      </c>
      <c r="DN56" s="20">
        <f>MAX(0,ResourceAvailable_1000P[[#This Row],[Amount Available for Resident Consumption]]-SUMIFS(ConsumptionModel_1000P[Resource Demand],ConsumptionModel_1000P[Resource],ResourceAvailable_1000P[[#This Row],[Resource]]))</f>
        <v>0</v>
      </c>
    </row>
    <row r="57" spans="2:118" ht="21" x14ac:dyDescent="0.65">
      <c r="B57" s="178">
        <f>ROW()</f>
        <v>57</v>
      </c>
      <c r="C57" s="70">
        <f>INDEX(ConsumptionModelInputs_1000P[Quantity],MATCH(ConsumptionModel_1000P[[#This Row],[Building]],ConsumptionModelInputs_1000P[Building],0))</f>
        <v>34</v>
      </c>
      <c r="D57" s="179" t="s">
        <v>59</v>
      </c>
      <c r="E57" s="179" t="s">
        <v>167</v>
      </c>
      <c r="F57" s="64" t="str">
        <f>IF(OR(ISBLANK(ConsumptionModel_1000P[[#This Row],[Building]]),ISBLANK(ConsumptionModel_1000P[[#This Row],[Resource]]))," - ",INDEX(Consumption[Type],MATCH(ConsumptionModel_1000P[[#This Row],[LookupValue]],Consumption[LookupValue],0)))</f>
        <v>Need</v>
      </c>
      <c r="G57" s="61" t="str">
        <f>IF(OR(ISBLANK(ConsumptionModel_1000P[[#This Row],[Building]]),ISBLANK(ConsumptionModel_1000P[[#This Row],[Resource]]))," - ",ConsumptionModel_1000P[[#This Row],[Building]]&amp;" - "&amp;ConsumptionModel_1000P[[#This Row],[Resource]])</f>
        <v>Paragon's Residence - Meat</v>
      </c>
      <c r="H57" s="62">
        <f>ConsumptionModel_1000P[[#This Row],[Quantity]]*INDEX(Consumption[Consumption/person/h],MATCH(ConsumptionModel_1000P[[#This Row],[LookupValue]],Consumption[LookupValue],0))*IFERROR(INDEX(ResidentBuildings[Residents],MATCH(ConsumptionModel_1000P[[#This Row],[Building]],ResidentBuildings[Building],0)),0)</f>
        <v>489.6</v>
      </c>
      <c r="I57"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516</v>
      </c>
      <c r="J57" s="65">
        <f>IF(ConsumptionModel_1000P[[#This Row],[Quantity]]=0,"",IF(AND(ConsumptionModel_1000P[[#This Row],[Resource Demand]]=0,ConsumptionModel_1000P[[#This Row],[Resource Available]]&gt;0),1,MIN(1,IFERROR(ConsumptionModel_1000P[[#This Row],[Resource Available]]/ConsumptionModel_1000P[[#This Row],[Resource Demand]],0))))</f>
        <v>1</v>
      </c>
      <c r="K57"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57" s="197"/>
      <c r="P57" s="71">
        <f>SUMIFS(ResourceAvailable_1000P[Amount Produced],ResourceAvailable_1000P[Resource],ResourceMonitor_1000P[[#This Row],[Resource]])</f>
        <v>0</v>
      </c>
      <c r="Q57" s="71">
        <f>SUMIFS(ResourceAvailable_1000P[Amount Consumed],ResourceAvailable_1000P[Resource],ResourceMonitor_1000P[[#This Row],[Resource]])</f>
        <v>0</v>
      </c>
      <c r="R57" s="71">
        <f>SUMIFS(ResourceAvailable_1000P[Amount Available for Resident Consumption],ResourceAvailable_1000P[Resource],ResourceMonitor_1000P[[#This Row],[Resource]])</f>
        <v>0</v>
      </c>
      <c r="S57" s="39">
        <f>MAX(0,ResourceMonitor_1000P[[#This Row],[Amount Available for Resident Consumption]]-SUMIFS(ConsumptionModel_1000P[Resource Demand],ConsumptionModel_1000P[Resource],ResourceMonitor_1000P[[#This Row],[Resource]]))</f>
        <v>0</v>
      </c>
      <c r="T57" s="39">
        <f>MIN(0,ResourceMonitor_1000P[[#This Row],[Amount Available for Resident Consumption]]-SUMIFS(ConsumptionModel_1000P[Resource Demand],ConsumptionModel_1000P[Resource],ResourceMonitor_1000P[[#This Row],[Resource]]))</f>
        <v>0</v>
      </c>
      <c r="U57" s="122">
        <f>IFERROR(INDEX(#REF!,MATCH(ResourceMonitor_1000P[[#This Row],[Resource]],#REF!,0)),0)</f>
        <v>0</v>
      </c>
      <c r="V57" s="194">
        <f>IFERROR(ResourceMonitor_1000P[[#This Row],[Amount Produced]]/ResourceMonitor_1000P[[#This Row],[Production Target]],0)</f>
        <v>0</v>
      </c>
      <c r="W57" s="133"/>
      <c r="X57" s="47">
        <f>IF(ResourceMonitor_1000P[[#This Row],[Ignore shipping needs?]]="Yes",0,ROUNDUP(ResourceMonitor_1000P[[#This Row],[Production Target]]/INDEX(ShipRequirementCalculator[Cargo capacity/h (return, 50% empty)],MATCH($X$15,ShipRequirementCalculator[Ship],0)),0))</f>
        <v>0</v>
      </c>
      <c r="Y57" s="47">
        <f>IF(ResourceMonitor_1000P[[#This Row],[Ignore shipping needs?]]="Yes",0,ROUNDUP(ResourceMonitor_1000P[[#This Row],[Production Target]]/INDEX(ShipRequirementCalculator[Cargo capacity/h (return, 50% empty)],MATCH($Y$15,ShipRequirementCalculator[Ship],0)),0))</f>
        <v>0</v>
      </c>
      <c r="Z57" s="47">
        <f>IF(ResourceMonitor_1000P[[#This Row],[Ignore shipping needs?]]="Yes",0,ROUNDUP(ResourceMonitor_1000P[[#This Row],[Production Target]]/INDEX(ShipRequirementCalculator[Cargo capacity/h (return, 50% empty)],MATCH($Z$15,ShipRequirementCalculator[Ship],0)),0))</f>
        <v>0</v>
      </c>
      <c r="AA57" s="124"/>
      <c r="AC57" s="103" t="s">
        <v>146</v>
      </c>
      <c r="AD57" s="83">
        <f>ROW()</f>
        <v>57</v>
      </c>
      <c r="AE57" s="74">
        <v>6</v>
      </c>
      <c r="AF57" s="50" t="s">
        <v>142</v>
      </c>
      <c r="AG57" s="18"/>
      <c r="AH57" s="74">
        <v>6</v>
      </c>
      <c r="AI57" s="156">
        <f>IFERROR(IslandModel_1000P[[#This Row],[Quantity]]/IslandModel_1000P[[#This Row],[Target Quantity]],0)</f>
        <v>1</v>
      </c>
      <c r="AJ57" s="61" t="str">
        <f>IFERROR(INDEX(Production[Resource Produced],MATCH(IslandModel_1000P[[#This Row],[Building]],Production[Building],0)),"")</f>
        <v>Malt</v>
      </c>
      <c r="AK57" s="99">
        <f>IFERROR(IslandModel_1000P[[#This Row],[Quantity]]*INDEX(Production[Production in 1h],MATCH(IslandModel_1000P[[#This Row],[Building]],Production[Building],0))*IslandModel_1000P[[#This Row],[Input Consumption Multiplier]],0)</f>
        <v>165</v>
      </c>
      <c r="AL57" s="115">
        <f>100%</f>
        <v>1</v>
      </c>
      <c r="AM57"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Wheat: 330/360</v>
      </c>
      <c r="AN57" s="77" t="str">
        <f>IFERROR(INDEX(Production[Input 1],MATCH(IslandModel_1000P[[#This Row],[Building]],Production[Building],0)),"")</f>
        <v>Land tile</v>
      </c>
      <c r="AO57" s="78"/>
      <c r="AP57"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6</v>
      </c>
      <c r="AQ57"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1959.5</v>
      </c>
      <c r="AR57"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5.5</v>
      </c>
      <c r="AS57" s="35" t="str">
        <f>IFERROR(INDEX(Production[Input 2],MATCH(IslandModel_1000P[[#This Row],[Building]],Production[Building],0)),"")</f>
        <v>Wheat</v>
      </c>
      <c r="AT57" s="78"/>
      <c r="AU57"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360</v>
      </c>
      <c r="AV57"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330</v>
      </c>
      <c r="AW57"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330</v>
      </c>
      <c r="AX57" s="35">
        <f>IFERROR(INDEX(Production[Input 3],MATCH(IslandModel_1000P[[#This Row],[Building]],Production[Building],0)),"")</f>
        <v>0</v>
      </c>
      <c r="AY57" s="78"/>
      <c r="AZ57"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57"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57"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57" s="35">
        <f>IFERROR(INDEX(Production[Input 4],MATCH(IslandModel_1000P[[#This Row],[Building]],Production[Building],0)),"")</f>
        <v>0</v>
      </c>
      <c r="BD57" s="78"/>
      <c r="BE57"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57"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57"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57" s="35">
        <f>IFERROR(INDEX(Production[Input 5],MATCH(IslandModel_1000P[[#This Row],[Building]],Production[Building],0)),"")</f>
        <v>0</v>
      </c>
      <c r="BI57" s="78"/>
      <c r="BJ57"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57"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57"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57" s="35">
        <f>IFERROR(INDEX(Production[Input 6],MATCH(IslandModel_1000P[[#This Row],[Building]],Production[Building],0)),"")</f>
        <v>0</v>
      </c>
      <c r="BN57" s="78"/>
      <c r="BO57"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57"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57"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57" s="35">
        <f>IFERROR(INDEX(Production[Input 7],MATCH(IslandModel_1000P[[#This Row],[Building]],Production[Building],0)),"")</f>
        <v>0</v>
      </c>
      <c r="BS57" s="78"/>
      <c r="BT57"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57"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57"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57" s="35">
        <f>IFERROR(INDEX(Production[Input 8],MATCH(IslandModel_1000P[[#This Row],[Building]],Production[Building],0)),"")</f>
        <v>0</v>
      </c>
      <c r="BX57" s="78"/>
      <c r="BY57"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57"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57"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57" s="35">
        <f>IFERROR(INDEX(Production[Input 9],MATCH(IslandModel_1000P[[#This Row],[Building]],Production[Building],0)),"")</f>
        <v>0</v>
      </c>
      <c r="CC57" s="78"/>
      <c r="CD57"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57"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57"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57" s="35">
        <f>IFERROR(INDEX(Production[Input 10],MATCH(IslandModel_1000P[[#This Row],[Building]],Production[Building],0)),"")</f>
        <v>0</v>
      </c>
      <c r="CH57" s="78"/>
      <c r="CI57"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57"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57"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57"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0.91666666666666663</v>
      </c>
      <c r="CM57" s="82" t="str">
        <f>IslandModel_1000P[[#This Row],[Resource Produced]]</f>
        <v>Malt</v>
      </c>
      <c r="CN57" s="42">
        <f>IslandModel_1000P[[#This Row],[Amount produced/h]]</f>
        <v>165</v>
      </c>
      <c r="CO57" s="42" t="str">
        <f>IslandModel_1000P[[#This Row],[Input 1]]</f>
        <v>Land tile</v>
      </c>
      <c r="CP57" s="42">
        <f>-IslandModel_1000P[[#This Row],[Input 1 Consumed]]</f>
        <v>-5.5</v>
      </c>
      <c r="CQ57" s="42" t="str">
        <f>IslandModel_1000P[[#This Row],[Input 2]]</f>
        <v>Wheat</v>
      </c>
      <c r="CR57" s="42">
        <f>-IslandModel_1000P[[#This Row],[Input 2 Consumed]]</f>
        <v>-330</v>
      </c>
      <c r="CS57" s="42">
        <f>IslandModel_1000P[[#This Row],[Input 3]]</f>
        <v>0</v>
      </c>
      <c r="CT57" s="42">
        <f>-IslandModel_1000P[[#This Row],[Input 3 Consumed]]</f>
        <v>0</v>
      </c>
      <c r="CU57" s="42">
        <f>IslandModel_1000P[[#This Row],[Input 4]]</f>
        <v>0</v>
      </c>
      <c r="CV57" s="42">
        <f>-IslandModel_1000P[[#This Row],[Input 4 Consumed]]</f>
        <v>0</v>
      </c>
      <c r="CW57" s="42">
        <f>IslandModel_1000P[[#This Row],[Input 5]]</f>
        <v>0</v>
      </c>
      <c r="CX57" s="42">
        <f>-IslandModel_1000P[[#This Row],[Input 5 Consumed]]</f>
        <v>0</v>
      </c>
      <c r="CY57" s="42">
        <f>IslandModel_1000P[[#This Row],[Input 6]]</f>
        <v>0</v>
      </c>
      <c r="CZ57" s="42">
        <f>-IslandModel_1000P[[#This Row],[Input 6 Consumed]]</f>
        <v>0</v>
      </c>
      <c r="DA57" s="42">
        <f>IslandModel_1000P[[#This Row],[Input 7]]</f>
        <v>0</v>
      </c>
      <c r="DB57" s="42">
        <f>-IslandModel_1000P[[#This Row],[Input 7 Consumed]]</f>
        <v>0</v>
      </c>
      <c r="DC57" s="42">
        <f>IslandModel_1000P[[#This Row],[Input 8]]</f>
        <v>0</v>
      </c>
      <c r="DD57" s="42">
        <f>-IslandModel_1000P[[#This Row],[Input 8 Consumed]]</f>
        <v>0</v>
      </c>
      <c r="DE57" s="42">
        <f>IslandModel_1000P[[#This Row],[Input 9]]</f>
        <v>0</v>
      </c>
      <c r="DF57" s="42">
        <f>-IslandModel_1000P[[#This Row],[Input 9 Consumed]]</f>
        <v>0</v>
      </c>
      <c r="DG57" s="42">
        <f>IslandModel_1000P[[#This Row],[Input 10]]</f>
        <v>0</v>
      </c>
      <c r="DH57" s="42">
        <f>-IslandModel_1000P[[#This Row],[Input 10 Consumed]]</f>
        <v>0</v>
      </c>
      <c r="DJ57" t="s">
        <v>379</v>
      </c>
      <c r="DK57" s="39">
        <f>SUM(SUMIFS(IslandModel_1000P[Resource 1 Qty],IslandModel_1000P[Resource 1],ResourceAvailable_1000P[[#This Row],[Resource]]))</f>
        <v>405</v>
      </c>
      <c r="DL57"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57" s="39">
        <f>ResourceAvailable_1000P[[#This Row],[Amount Produced]]-ResourceAvailable_1000P[[#This Row],[Amount Consumed]]</f>
        <v>405</v>
      </c>
      <c r="DN57" s="20">
        <f>MAX(0,ResourceAvailable_1000P[[#This Row],[Amount Available for Resident Consumption]]-SUMIFS(ConsumptionModel_1000P[Resource Demand],ConsumptionModel_1000P[Resource],ResourceAvailable_1000P[[#This Row],[Resource]]))</f>
        <v>37.799999999999955</v>
      </c>
    </row>
    <row r="58" spans="2:118" ht="21" x14ac:dyDescent="0.65">
      <c r="B58" s="178">
        <f>ROW()</f>
        <v>58</v>
      </c>
      <c r="C58" s="70">
        <f>INDEX(ConsumptionModelInputs_1000P[Quantity],MATCH(ConsumptionModel_1000P[[#This Row],[Building]],ConsumptionModelInputs_1000P[Building],0))</f>
        <v>34</v>
      </c>
      <c r="D58" s="179" t="s">
        <v>59</v>
      </c>
      <c r="E58" s="179" t="s">
        <v>330</v>
      </c>
      <c r="F58" s="64" t="str">
        <f>IF(OR(ISBLANK(ConsumptionModel_1000P[[#This Row],[Building]]),ISBLANK(ConsumptionModel_1000P[[#This Row],[Resource]]))," - ",INDEX(Consumption[Type],MATCH(ConsumptionModel_1000P[[#This Row],[LookupValue]],Consumption[LookupValue],0)))</f>
        <v>Need</v>
      </c>
      <c r="G58" s="61" t="str">
        <f>IF(OR(ISBLANK(ConsumptionModel_1000P[[#This Row],[Building]]),ISBLANK(ConsumptionModel_1000P[[#This Row],[Resource]]))," - ",ConsumptionModel_1000P[[#This Row],[Building]]&amp;" - "&amp;ConsumptionModel_1000P[[#This Row],[Resource]])</f>
        <v>Paragon's Residence - Water</v>
      </c>
      <c r="H58" s="62">
        <f>ConsumptionModel_1000P[[#This Row],[Quantity]]*INDEX(Consumption[Consumption/person/h],MATCH(ConsumptionModel_1000P[[#This Row],[LookupValue]],Consumption[LookupValue],0))*IFERROR(INDEX(ResidentBuildings[Residents],MATCH(ConsumptionModel_1000P[[#This Row],[Building]],ResidentBuildings[Building],0)),0)</f>
        <v>0</v>
      </c>
      <c r="I58"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4</v>
      </c>
      <c r="J58" s="65">
        <f>IF(ConsumptionModel_1000P[[#This Row],[Quantity]]=0,"",IF(AND(ConsumptionModel_1000P[[#This Row],[Resource Demand]]=0,ConsumptionModel_1000P[[#This Row],[Resource Available]]&gt;0),1,MIN(1,IFERROR(ConsumptionModel_1000P[[#This Row],[Resource Available]]/ConsumptionModel_1000P[[#This Row],[Resource Demand]],0))))</f>
        <v>1</v>
      </c>
      <c r="K58"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58" s="197"/>
      <c r="P58" s="71">
        <f>SUMIFS(ResourceAvailable_1000P[Amount Produced],ResourceAvailable_1000P[Resource],ResourceMonitor_1000P[[#This Row],[Resource]])</f>
        <v>0</v>
      </c>
      <c r="Q58" s="71">
        <f>SUMIFS(ResourceAvailable_1000P[Amount Consumed],ResourceAvailable_1000P[Resource],ResourceMonitor_1000P[[#This Row],[Resource]])</f>
        <v>0</v>
      </c>
      <c r="R58" s="71">
        <f>SUMIFS(ResourceAvailable_1000P[Amount Available for Resident Consumption],ResourceAvailable_1000P[Resource],ResourceMonitor_1000P[[#This Row],[Resource]])</f>
        <v>0</v>
      </c>
      <c r="S58" s="39">
        <f>MAX(0,ResourceMonitor_1000P[[#This Row],[Amount Available for Resident Consumption]]-SUMIFS(ConsumptionModel_1000P[Resource Demand],ConsumptionModel_1000P[Resource],ResourceMonitor_1000P[[#This Row],[Resource]]))</f>
        <v>0</v>
      </c>
      <c r="T58" s="39">
        <f>MIN(0,ResourceMonitor_1000P[[#This Row],[Amount Available for Resident Consumption]]-SUMIFS(ConsumptionModel_1000P[Resource Demand],ConsumptionModel_1000P[Resource],ResourceMonitor_1000P[[#This Row],[Resource]]))</f>
        <v>0</v>
      </c>
      <c r="U58" s="122">
        <f>IFERROR(INDEX(#REF!,MATCH(ResourceMonitor_1000P[[#This Row],[Resource]],#REF!,0)),0)</f>
        <v>0</v>
      </c>
      <c r="V58" s="194">
        <f>IFERROR(ResourceMonitor_1000P[[#This Row],[Amount Produced]]/ResourceMonitor_1000P[[#This Row],[Production Target]],0)</f>
        <v>0</v>
      </c>
      <c r="W58" s="133"/>
      <c r="X58" s="47">
        <f>IF(ResourceMonitor_1000P[[#This Row],[Ignore shipping needs?]]="Yes",0,ROUNDUP(ResourceMonitor_1000P[[#This Row],[Production Target]]/INDEX(ShipRequirementCalculator[Cargo capacity/h (return, 50% empty)],MATCH($X$15,ShipRequirementCalculator[Ship],0)),0))</f>
        <v>0</v>
      </c>
      <c r="Y58" s="47">
        <f>IF(ResourceMonitor_1000P[[#This Row],[Ignore shipping needs?]]="Yes",0,ROUNDUP(ResourceMonitor_1000P[[#This Row],[Production Target]]/INDEX(ShipRequirementCalculator[Cargo capacity/h (return, 50% empty)],MATCH($Y$15,ShipRequirementCalculator[Ship],0)),0))</f>
        <v>0</v>
      </c>
      <c r="Z58" s="47">
        <f>IF(ResourceMonitor_1000P[[#This Row],[Ignore shipping needs?]]="Yes",0,ROUNDUP(ResourceMonitor_1000P[[#This Row],[Production Target]]/INDEX(ShipRequirementCalculator[Cargo capacity/h (return, 50% empty)],MATCH($Z$15,ShipRequirementCalculator[Ship],0)),0))</f>
        <v>0</v>
      </c>
      <c r="AA58" s="124"/>
      <c r="AC58" s="103" t="s">
        <v>146</v>
      </c>
      <c r="AD58" s="83">
        <f>ROW()</f>
        <v>58</v>
      </c>
      <c r="AE58" s="74">
        <v>11</v>
      </c>
      <c r="AF58" s="50" t="s">
        <v>145</v>
      </c>
      <c r="AG58" s="18"/>
      <c r="AH58" s="74">
        <v>11</v>
      </c>
      <c r="AI58" s="156">
        <f>IFERROR(IslandModel_1000P[[#This Row],[Quantity]]/IslandModel_1000P[[#This Row],[Target Quantity]],0)</f>
        <v>1</v>
      </c>
      <c r="AJ58" s="61" t="str">
        <f>IFERROR(INDEX(Production[Resource Produced],MATCH(IslandModel_1000P[[#This Row],[Building]],Production[Building],0)),"")</f>
        <v>Beer</v>
      </c>
      <c r="AK58" s="99">
        <f>IFERROR(IslandModel_1000P[[#This Row],[Quantity]]*INDEX(Production[Production in 1h],MATCH(IslandModel_1000P[[#This Row],[Building]],Production[Building],0))*IslandModel_1000P[[#This Row],[Input Consumption Multiplier]],0)</f>
        <v>320</v>
      </c>
      <c r="AL58" s="115">
        <f>100%</f>
        <v>1</v>
      </c>
      <c r="AM58"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Hops: 480/495</v>
      </c>
      <c r="AN58" s="77" t="str">
        <f>IFERROR(INDEX(Production[Input 1],MATCH(IslandModel_1000P[[#This Row],[Building]],Production[Building],0)),"")</f>
        <v>Land tile</v>
      </c>
      <c r="AO58" s="78"/>
      <c r="AP58"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11</v>
      </c>
      <c r="AQ58"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1954</v>
      </c>
      <c r="AR58"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10.666666666666668</v>
      </c>
      <c r="AS58" s="35" t="str">
        <f>IFERROR(INDEX(Production[Input 2],MATCH(IslandModel_1000P[[#This Row],[Building]],Production[Building],0)),"")</f>
        <v>Hops</v>
      </c>
      <c r="AT58" s="78"/>
      <c r="AU58"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495</v>
      </c>
      <c r="AV58"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480</v>
      </c>
      <c r="AW58"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480</v>
      </c>
      <c r="AX58" s="35" t="str">
        <f>IFERROR(INDEX(Production[Input 3],MATCH(IslandModel_1000P[[#This Row],[Building]],Production[Building],0)),"")</f>
        <v>Malt</v>
      </c>
      <c r="AY58" s="78"/>
      <c r="AZ58"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165</v>
      </c>
      <c r="BA58"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165</v>
      </c>
      <c r="BB58"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160</v>
      </c>
      <c r="BC58" s="35">
        <f>IFERROR(INDEX(Production[Input 4],MATCH(IslandModel_1000P[[#This Row],[Building]],Production[Building],0)),"")</f>
        <v>0</v>
      </c>
      <c r="BD58" s="78"/>
      <c r="BE58"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58"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58"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58" s="35">
        <f>IFERROR(INDEX(Production[Input 5],MATCH(IslandModel_1000P[[#This Row],[Building]],Production[Building],0)),"")</f>
        <v>0</v>
      </c>
      <c r="BI58" s="78"/>
      <c r="BJ58"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58"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58"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58" s="35">
        <f>IFERROR(INDEX(Production[Input 6],MATCH(IslandModel_1000P[[#This Row],[Building]],Production[Building],0)),"")</f>
        <v>0</v>
      </c>
      <c r="BN58" s="78"/>
      <c r="BO58"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58"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58"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58" s="35">
        <f>IFERROR(INDEX(Production[Input 7],MATCH(IslandModel_1000P[[#This Row],[Building]],Production[Building],0)),"")</f>
        <v>0</v>
      </c>
      <c r="BS58" s="78"/>
      <c r="BT58"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58"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58"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58" s="35">
        <f>IFERROR(INDEX(Production[Input 8],MATCH(IslandModel_1000P[[#This Row],[Building]],Production[Building],0)),"")</f>
        <v>0</v>
      </c>
      <c r="BX58" s="78"/>
      <c r="BY58"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58"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58"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58" s="35">
        <f>IFERROR(INDEX(Production[Input 9],MATCH(IslandModel_1000P[[#This Row],[Building]],Production[Building],0)),"")</f>
        <v>0</v>
      </c>
      <c r="CC58" s="78"/>
      <c r="CD58"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58"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58"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58" s="35">
        <f>IFERROR(INDEX(Production[Input 10],MATCH(IslandModel_1000P[[#This Row],[Building]],Production[Building],0)),"")</f>
        <v>0</v>
      </c>
      <c r="CH58" s="78"/>
      <c r="CI58"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58"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58"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58"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0.96969696969696972</v>
      </c>
      <c r="CM58" s="82" t="str">
        <f>IslandModel_1000P[[#This Row],[Resource Produced]]</f>
        <v>Beer</v>
      </c>
      <c r="CN58" s="42">
        <f>IslandModel_1000P[[#This Row],[Amount produced/h]]</f>
        <v>320</v>
      </c>
      <c r="CO58" s="42" t="str">
        <f>IslandModel_1000P[[#This Row],[Input 1]]</f>
        <v>Land tile</v>
      </c>
      <c r="CP58" s="42">
        <f>-IslandModel_1000P[[#This Row],[Input 1 Consumed]]</f>
        <v>-10.666666666666668</v>
      </c>
      <c r="CQ58" s="42" t="str">
        <f>IslandModel_1000P[[#This Row],[Input 2]]</f>
        <v>Hops</v>
      </c>
      <c r="CR58" s="42">
        <f>-IslandModel_1000P[[#This Row],[Input 2 Consumed]]</f>
        <v>-480</v>
      </c>
      <c r="CS58" s="42" t="str">
        <f>IslandModel_1000P[[#This Row],[Input 3]]</f>
        <v>Malt</v>
      </c>
      <c r="CT58" s="42">
        <f>-IslandModel_1000P[[#This Row],[Input 3 Consumed]]</f>
        <v>-160</v>
      </c>
      <c r="CU58" s="42">
        <f>IslandModel_1000P[[#This Row],[Input 4]]</f>
        <v>0</v>
      </c>
      <c r="CV58" s="42">
        <f>-IslandModel_1000P[[#This Row],[Input 4 Consumed]]</f>
        <v>0</v>
      </c>
      <c r="CW58" s="42">
        <f>IslandModel_1000P[[#This Row],[Input 5]]</f>
        <v>0</v>
      </c>
      <c r="CX58" s="42">
        <f>-IslandModel_1000P[[#This Row],[Input 5 Consumed]]</f>
        <v>0</v>
      </c>
      <c r="CY58" s="42">
        <f>IslandModel_1000P[[#This Row],[Input 6]]</f>
        <v>0</v>
      </c>
      <c r="CZ58" s="42">
        <f>-IslandModel_1000P[[#This Row],[Input 6 Consumed]]</f>
        <v>0</v>
      </c>
      <c r="DA58" s="42">
        <f>IslandModel_1000P[[#This Row],[Input 7]]</f>
        <v>0</v>
      </c>
      <c r="DB58" s="42">
        <f>-IslandModel_1000P[[#This Row],[Input 7 Consumed]]</f>
        <v>0</v>
      </c>
      <c r="DC58" s="42">
        <f>IslandModel_1000P[[#This Row],[Input 8]]</f>
        <v>0</v>
      </c>
      <c r="DD58" s="42">
        <f>-IslandModel_1000P[[#This Row],[Input 8 Consumed]]</f>
        <v>0</v>
      </c>
      <c r="DE58" s="42">
        <f>IslandModel_1000P[[#This Row],[Input 9]]</f>
        <v>0</v>
      </c>
      <c r="DF58" s="42">
        <f>-IslandModel_1000P[[#This Row],[Input 9 Consumed]]</f>
        <v>0</v>
      </c>
      <c r="DG58" s="42">
        <f>IslandModel_1000P[[#This Row],[Input 10]]</f>
        <v>0</v>
      </c>
      <c r="DH58" s="42">
        <f>-IslandModel_1000P[[#This Row],[Input 10 Consumed]]</f>
        <v>0</v>
      </c>
      <c r="DJ58" s="55" t="s">
        <v>391</v>
      </c>
      <c r="DK58" s="39">
        <f>SUM(SUMIFS(IslandModel_1000P[Resource 1 Qty],IslandModel_1000P[Resource 1],ResourceAvailable_1000P[[#This Row],[Resource]]))</f>
        <v>15</v>
      </c>
      <c r="DL58"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58" s="39">
        <f>ResourceAvailable_1000P[[#This Row],[Amount Produced]]-ResourceAvailable_1000P[[#This Row],[Amount Consumed]]</f>
        <v>15</v>
      </c>
      <c r="DN58" s="20">
        <f>MAX(0,ResourceAvailable_1000P[[#This Row],[Amount Available for Resident Consumption]]-SUMIFS(ConsumptionModel_1000P[Resource Demand],ConsumptionModel_1000P[Resource],ResourceAvailable_1000P[[#This Row],[Resource]]))</f>
        <v>15</v>
      </c>
    </row>
    <row r="59" spans="2:118" ht="21" x14ac:dyDescent="0.65">
      <c r="B59" s="178">
        <f>ROW()</f>
        <v>59</v>
      </c>
      <c r="C59" s="70">
        <f>INDEX(ConsumptionModelInputs_1000P[Quantity],MATCH(ConsumptionModel_1000P[[#This Row],[Building]],ConsumptionModelInputs_1000P[Building],0))</f>
        <v>34</v>
      </c>
      <c r="D59" s="179" t="s">
        <v>59</v>
      </c>
      <c r="E59" s="179" t="s">
        <v>331</v>
      </c>
      <c r="F59" s="64" t="str">
        <f>IF(OR(ISBLANK(ConsumptionModel_1000P[[#This Row],[Building]]),ISBLANK(ConsumptionModel_1000P[[#This Row],[Resource]]))," - ",INDEX(Consumption[Type],MATCH(ConsumptionModel_1000P[[#This Row],[LookupValue]],Consumption[LookupValue],0)))</f>
        <v>Need</v>
      </c>
      <c r="G59" s="61" t="str">
        <f>IF(OR(ISBLANK(ConsumptionModel_1000P[[#This Row],[Building]]),ISBLANK(ConsumptionModel_1000P[[#This Row],[Resource]]))," - ",ConsumptionModel_1000P[[#This Row],[Building]]&amp;" - "&amp;ConsumptionModel_1000P[[#This Row],[Resource]])</f>
        <v>Paragon's Residence - Community</v>
      </c>
      <c r="H59" s="62">
        <f>ConsumptionModel_1000P[[#This Row],[Quantity]]*INDEX(Consumption[Consumption/person/h],MATCH(ConsumptionModel_1000P[[#This Row],[LookupValue]],Consumption[LookupValue],0))*IFERROR(INDEX(ResidentBuildings[Residents],MATCH(ConsumptionModel_1000P[[#This Row],[Building]],ResidentBuildings[Building],0)),0)</f>
        <v>0</v>
      </c>
      <c r="I59"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2</v>
      </c>
      <c r="J59" s="65">
        <f>IF(ConsumptionModel_1000P[[#This Row],[Quantity]]=0,"",IF(AND(ConsumptionModel_1000P[[#This Row],[Resource Demand]]=0,ConsumptionModel_1000P[[#This Row],[Resource Available]]&gt;0),1,MIN(1,IFERROR(ConsumptionModel_1000P[[#This Row],[Resource Available]]/ConsumptionModel_1000P[[#This Row],[Resource Demand]],0))))</f>
        <v>1</v>
      </c>
      <c r="K59"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59" s="197"/>
      <c r="P59" s="71">
        <f>SUMIFS(ResourceAvailable_1000P[Amount Produced],ResourceAvailable_1000P[Resource],ResourceMonitor_1000P[[#This Row],[Resource]])</f>
        <v>0</v>
      </c>
      <c r="Q59" s="71">
        <f>SUMIFS(ResourceAvailable_1000P[Amount Consumed],ResourceAvailable_1000P[Resource],ResourceMonitor_1000P[[#This Row],[Resource]])</f>
        <v>0</v>
      </c>
      <c r="R59" s="71">
        <f>SUMIFS(ResourceAvailable_1000P[Amount Available for Resident Consumption],ResourceAvailable_1000P[Resource],ResourceMonitor_1000P[[#This Row],[Resource]])</f>
        <v>0</v>
      </c>
      <c r="S59" s="39">
        <f>MAX(0,ResourceMonitor_1000P[[#This Row],[Amount Available for Resident Consumption]]-SUMIFS(ConsumptionModel_1000P[Resource Demand],ConsumptionModel_1000P[Resource],ResourceMonitor_1000P[[#This Row],[Resource]]))</f>
        <v>0</v>
      </c>
      <c r="T59" s="39">
        <f>MIN(0,ResourceMonitor_1000P[[#This Row],[Amount Available for Resident Consumption]]-SUMIFS(ConsumptionModel_1000P[Resource Demand],ConsumptionModel_1000P[Resource],ResourceMonitor_1000P[[#This Row],[Resource]]))</f>
        <v>0</v>
      </c>
      <c r="U59" s="122">
        <f>IFERROR(INDEX(#REF!,MATCH(ResourceMonitor_1000P[[#This Row],[Resource]],#REF!,0)),0)</f>
        <v>0</v>
      </c>
      <c r="V59" s="194">
        <f>IFERROR(ResourceMonitor_1000P[[#This Row],[Amount Produced]]/ResourceMonitor_1000P[[#This Row],[Production Target]],0)</f>
        <v>0</v>
      </c>
      <c r="W59" s="133"/>
      <c r="X59" s="47">
        <f>IF(ResourceMonitor_1000P[[#This Row],[Ignore shipping needs?]]="Yes",0,ROUNDUP(ResourceMonitor_1000P[[#This Row],[Production Target]]/INDEX(ShipRequirementCalculator[Cargo capacity/h (return, 50% empty)],MATCH($X$15,ShipRequirementCalculator[Ship],0)),0))</f>
        <v>0</v>
      </c>
      <c r="Y59" s="47">
        <f>IF(ResourceMonitor_1000P[[#This Row],[Ignore shipping needs?]]="Yes",0,ROUNDUP(ResourceMonitor_1000P[[#This Row],[Production Target]]/INDEX(ShipRequirementCalculator[Cargo capacity/h (return, 50% empty)],MATCH($Y$15,ShipRequirementCalculator[Ship],0)),0))</f>
        <v>0</v>
      </c>
      <c r="Z59" s="47">
        <f>IF(ResourceMonitor_1000P[[#This Row],[Ignore shipping needs?]]="Yes",0,ROUNDUP(ResourceMonitor_1000P[[#This Row],[Production Target]]/INDEX(ShipRequirementCalculator[Cargo capacity/h (return, 50% empty)],MATCH($Z$15,ShipRequirementCalculator[Ship],0)),0))</f>
        <v>0</v>
      </c>
      <c r="AA59" s="124"/>
      <c r="AC59" s="103" t="s">
        <v>167</v>
      </c>
      <c r="AD59" s="83">
        <f>ROW()</f>
        <v>59</v>
      </c>
      <c r="AE59" s="74"/>
      <c r="AF59" s="50" t="s">
        <v>138</v>
      </c>
      <c r="AG59" s="50"/>
      <c r="AH59" s="74"/>
      <c r="AI59" s="156">
        <f>IFERROR(IslandModel_1000P[[#This Row],[Quantity]]/IslandModel_1000P[[#This Row],[Target Quantity]],0)</f>
        <v>0</v>
      </c>
      <c r="AJ59" s="61" t="str">
        <f>IFERROR(INDEX(Production[Resource Produced],MATCH(IslandModel_1000P[[#This Row],[Building]],Production[Building],0)),"")</f>
        <v>Coal</v>
      </c>
      <c r="AK59" s="99">
        <f>IFERROR(IslandModel_1000P[[#This Row],[Quantity]]*INDEX(Production[Production in 1h],MATCH(IslandModel_1000P[[#This Row],[Building]],Production[Building],0))*IslandModel_1000P[[#This Row],[Input Consumption Multiplier]],0)</f>
        <v>0</v>
      </c>
      <c r="AL59" s="115">
        <f>100%</f>
        <v>1</v>
      </c>
      <c r="AM59"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59" s="77" t="str">
        <f>IFERROR(INDEX(Production[Input 1],MATCH(IslandModel_1000P[[#This Row],[Building]],Production[Building],0)),"")</f>
        <v>Mountain tile</v>
      </c>
      <c r="AO59" s="78"/>
      <c r="AP59"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59"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320</v>
      </c>
      <c r="AR59"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59" s="35">
        <f>IFERROR(INDEX(Production[Input 2],MATCH(IslandModel_1000P[[#This Row],[Building]],Production[Building],0)),"")</f>
        <v>0</v>
      </c>
      <c r="AT59" s="78"/>
      <c r="AU59"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59"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59"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59" s="35">
        <f>IFERROR(INDEX(Production[Input 3],MATCH(IslandModel_1000P[[#This Row],[Building]],Production[Building],0)),"")</f>
        <v>0</v>
      </c>
      <c r="AY59" s="78"/>
      <c r="AZ59"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59"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59"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59" s="35">
        <f>IFERROR(INDEX(Production[Input 4],MATCH(IslandModel_1000P[[#This Row],[Building]],Production[Building],0)),"")</f>
        <v>0</v>
      </c>
      <c r="BD59" s="78"/>
      <c r="BE59"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59"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59"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59" s="35">
        <f>IFERROR(INDEX(Production[Input 5],MATCH(IslandModel_1000P[[#This Row],[Building]],Production[Building],0)),"")</f>
        <v>0</v>
      </c>
      <c r="BI59" s="78"/>
      <c r="BJ59"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59"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59"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59" s="35">
        <f>IFERROR(INDEX(Production[Input 6],MATCH(IslandModel_1000P[[#This Row],[Building]],Production[Building],0)),"")</f>
        <v>0</v>
      </c>
      <c r="BN59" s="78"/>
      <c r="BO59"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59"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59"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59" s="35">
        <f>IFERROR(INDEX(Production[Input 7],MATCH(IslandModel_1000P[[#This Row],[Building]],Production[Building],0)),"")</f>
        <v>0</v>
      </c>
      <c r="BS59" s="78"/>
      <c r="BT59"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59"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59"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59" s="35">
        <f>IFERROR(INDEX(Production[Input 8],MATCH(IslandModel_1000P[[#This Row],[Building]],Production[Building],0)),"")</f>
        <v>0</v>
      </c>
      <c r="BX59" s="78"/>
      <c r="BY59"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59"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59"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59" s="35">
        <f>IFERROR(INDEX(Production[Input 9],MATCH(IslandModel_1000P[[#This Row],[Building]],Production[Building],0)),"")</f>
        <v>0</v>
      </c>
      <c r="CC59" s="78"/>
      <c r="CD59"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59"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59"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59" s="35">
        <f>IFERROR(INDEX(Production[Input 10],MATCH(IslandModel_1000P[[#This Row],[Building]],Production[Building],0)),"")</f>
        <v>0</v>
      </c>
      <c r="CH59" s="78"/>
      <c r="CI59"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59"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59"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59"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59" s="82" t="str">
        <f>IslandModel_1000P[[#This Row],[Resource Produced]]</f>
        <v>Coal</v>
      </c>
      <c r="CN59" s="42">
        <f>IslandModel_1000P[[#This Row],[Amount produced/h]]</f>
        <v>0</v>
      </c>
      <c r="CO59" s="42" t="str">
        <f>IslandModel_1000P[[#This Row],[Input 1]]</f>
        <v>Mountain tile</v>
      </c>
      <c r="CP59" s="42">
        <f>-IslandModel_1000P[[#This Row],[Input 1 Consumed]]</f>
        <v>0</v>
      </c>
      <c r="CQ59" s="42">
        <f>IslandModel_1000P[[#This Row],[Input 2]]</f>
        <v>0</v>
      </c>
      <c r="CR59" s="42">
        <f>-IslandModel_1000P[[#This Row],[Input 2 Consumed]]</f>
        <v>0</v>
      </c>
      <c r="CS59" s="42">
        <f>IslandModel_1000P[[#This Row],[Input 3]]</f>
        <v>0</v>
      </c>
      <c r="CT59" s="42">
        <f>-IslandModel_1000P[[#This Row],[Input 3 Consumed]]</f>
        <v>0</v>
      </c>
      <c r="CU59" s="42">
        <f>IslandModel_1000P[[#This Row],[Input 4]]</f>
        <v>0</v>
      </c>
      <c r="CV59" s="42">
        <f>-IslandModel_1000P[[#This Row],[Input 4 Consumed]]</f>
        <v>0</v>
      </c>
      <c r="CW59" s="42">
        <f>IslandModel_1000P[[#This Row],[Input 5]]</f>
        <v>0</v>
      </c>
      <c r="CX59" s="42">
        <f>-IslandModel_1000P[[#This Row],[Input 5 Consumed]]</f>
        <v>0</v>
      </c>
      <c r="CY59" s="42">
        <f>IslandModel_1000P[[#This Row],[Input 6]]</f>
        <v>0</v>
      </c>
      <c r="CZ59" s="42">
        <f>-IslandModel_1000P[[#This Row],[Input 6 Consumed]]</f>
        <v>0</v>
      </c>
      <c r="DA59" s="42">
        <f>IslandModel_1000P[[#This Row],[Input 7]]</f>
        <v>0</v>
      </c>
      <c r="DB59" s="42">
        <f>-IslandModel_1000P[[#This Row],[Input 7 Consumed]]</f>
        <v>0</v>
      </c>
      <c r="DC59" s="42">
        <f>IslandModel_1000P[[#This Row],[Input 8]]</f>
        <v>0</v>
      </c>
      <c r="DD59" s="42">
        <f>-IslandModel_1000P[[#This Row],[Input 8 Consumed]]</f>
        <v>0</v>
      </c>
      <c r="DE59" s="42">
        <f>IslandModel_1000P[[#This Row],[Input 9]]</f>
        <v>0</v>
      </c>
      <c r="DF59" s="42">
        <f>-IslandModel_1000P[[#This Row],[Input 9 Consumed]]</f>
        <v>0</v>
      </c>
      <c r="DG59" s="42">
        <f>IslandModel_1000P[[#This Row],[Input 10]]</f>
        <v>0</v>
      </c>
      <c r="DH59" s="42">
        <f>-IslandModel_1000P[[#This Row],[Input 10 Consumed]]</f>
        <v>0</v>
      </c>
      <c r="DJ59" t="s">
        <v>63</v>
      </c>
      <c r="DK59" s="39">
        <f>SUM(SUMIFS(IslandModel_1000P[Resource 1 Qty],IslandModel_1000P[Resource 1],ResourceAvailable_1000P[[#This Row],[Resource]]))</f>
        <v>1080</v>
      </c>
      <c r="DL59"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59" s="39">
        <f>ResourceAvailable_1000P[[#This Row],[Amount Produced]]-ResourceAvailable_1000P[[#This Row],[Amount Consumed]]</f>
        <v>1080</v>
      </c>
      <c r="DN59" s="20">
        <f>MAX(0,ResourceAvailable_1000P[[#This Row],[Amount Available for Resident Consumption]]-SUMIFS(ConsumptionModel_1000P[Resource Demand],ConsumptionModel_1000P[Resource],ResourceAvailable_1000P[[#This Row],[Resource]]))</f>
        <v>30</v>
      </c>
    </row>
    <row r="60" spans="2:118" ht="21" x14ac:dyDescent="0.65">
      <c r="B60" s="178">
        <f>ROW()</f>
        <v>60</v>
      </c>
      <c r="C60" s="70">
        <f>INDEX(ConsumptionModelInputs_1000P[Quantity],MATCH(ConsumptionModel_1000P[[#This Row],[Building]],ConsumptionModelInputs_1000P[Building],0))</f>
        <v>34</v>
      </c>
      <c r="D60" s="179" t="s">
        <v>59</v>
      </c>
      <c r="E60" s="179" t="s">
        <v>332</v>
      </c>
      <c r="F60" s="64" t="str">
        <f>IF(OR(ISBLANK(ConsumptionModel_1000P[[#This Row],[Building]]),ISBLANK(ConsumptionModel_1000P[[#This Row],[Resource]]))," - ",INDEX(Consumption[Type],MATCH(ConsumptionModel_1000P[[#This Row],[LookupValue]],Consumption[LookupValue],0)))</f>
        <v>Need</v>
      </c>
      <c r="G60" s="61" t="str">
        <f>IF(OR(ISBLANK(ConsumptionModel_1000P[[#This Row],[Building]]),ISBLANK(ConsumptionModel_1000P[[#This Row],[Resource]]))," - ",ConsumptionModel_1000P[[#This Row],[Building]]&amp;" - "&amp;ConsumptionModel_1000P[[#This Row],[Resource]])</f>
        <v>Paragon's Residence - Education</v>
      </c>
      <c r="H60" s="62">
        <f>ConsumptionModel_1000P[[#This Row],[Quantity]]*INDEX(Consumption[Consumption/person/h],MATCH(ConsumptionModel_1000P[[#This Row],[LookupValue]],Consumption[LookupValue],0))*IFERROR(INDEX(ResidentBuildings[Residents],MATCH(ConsumptionModel_1000P[[#This Row],[Building]],ResidentBuildings[Building],0)),0)</f>
        <v>0</v>
      </c>
      <c r="I60"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3</v>
      </c>
      <c r="J60" s="65">
        <f>IF(ConsumptionModel_1000P[[#This Row],[Quantity]]=0,"",IF(AND(ConsumptionModel_1000P[[#This Row],[Resource Demand]]=0,ConsumptionModel_1000P[[#This Row],[Resource Available]]&gt;0),1,MIN(1,IFERROR(ConsumptionModel_1000P[[#This Row],[Resource Available]]/ConsumptionModel_1000P[[#This Row],[Resource Demand]],0))))</f>
        <v>1</v>
      </c>
      <c r="K60"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60" s="197"/>
      <c r="P60" s="71">
        <f>SUMIFS(ResourceAvailable_1000P[Amount Produced],ResourceAvailable_1000P[Resource],ResourceMonitor_1000P[[#This Row],[Resource]])</f>
        <v>0</v>
      </c>
      <c r="Q60" s="71">
        <f>SUMIFS(ResourceAvailable_1000P[Amount Consumed],ResourceAvailable_1000P[Resource],ResourceMonitor_1000P[[#This Row],[Resource]])</f>
        <v>0</v>
      </c>
      <c r="R60" s="71">
        <f>SUMIFS(ResourceAvailable_1000P[Amount Available for Resident Consumption],ResourceAvailable_1000P[Resource],ResourceMonitor_1000P[[#This Row],[Resource]])</f>
        <v>0</v>
      </c>
      <c r="S60" s="39">
        <f>MAX(0,ResourceMonitor_1000P[[#This Row],[Amount Available for Resident Consumption]]-SUMIFS(ConsumptionModel_1000P[Resource Demand],ConsumptionModel_1000P[Resource],ResourceMonitor_1000P[[#This Row],[Resource]]))</f>
        <v>0</v>
      </c>
      <c r="T60" s="39">
        <f>MIN(0,ResourceMonitor_1000P[[#This Row],[Amount Available for Resident Consumption]]-SUMIFS(ConsumptionModel_1000P[Resource Demand],ConsumptionModel_1000P[Resource],ResourceMonitor_1000P[[#This Row],[Resource]]))</f>
        <v>0</v>
      </c>
      <c r="U60" s="122">
        <f>IFERROR(INDEX(#REF!,MATCH(ResourceMonitor_1000P[[#This Row],[Resource]],#REF!,0)),0)</f>
        <v>0</v>
      </c>
      <c r="V60" s="194">
        <f>IFERROR(ResourceMonitor_1000P[[#This Row],[Amount Produced]]/ResourceMonitor_1000P[[#This Row],[Production Target]],0)</f>
        <v>0</v>
      </c>
      <c r="W60" s="133"/>
      <c r="X60" s="47">
        <f>IF(ResourceMonitor_1000P[[#This Row],[Ignore shipping needs?]]="Yes",0,ROUNDUP(ResourceMonitor_1000P[[#This Row],[Production Target]]/INDEX(ShipRequirementCalculator[Cargo capacity/h (return, 50% empty)],MATCH($X$15,ShipRequirementCalculator[Ship],0)),0))</f>
        <v>0</v>
      </c>
      <c r="Y60" s="47">
        <f>IF(ResourceMonitor_1000P[[#This Row],[Ignore shipping needs?]]="Yes",0,ROUNDUP(ResourceMonitor_1000P[[#This Row],[Production Target]]/INDEX(ShipRequirementCalculator[Cargo capacity/h (return, 50% empty)],MATCH($Y$15,ShipRequirementCalculator[Ship],0)),0))</f>
        <v>0</v>
      </c>
      <c r="Z60" s="47">
        <f>IF(ResourceMonitor_1000P[[#This Row],[Ignore shipping needs?]]="Yes",0,ROUNDUP(ResourceMonitor_1000P[[#This Row],[Production Target]]/INDEX(ShipRequirementCalculator[Cargo capacity/h (return, 50% empty)],MATCH($Z$15,ShipRequirementCalculator[Ship],0)),0))</f>
        <v>0</v>
      </c>
      <c r="AA60" s="124"/>
      <c r="AC60" s="103" t="s">
        <v>167</v>
      </c>
      <c r="AD60" s="83">
        <f>ROW()</f>
        <v>60</v>
      </c>
      <c r="AE60" s="74"/>
      <c r="AF60" s="50" t="s">
        <v>50</v>
      </c>
      <c r="AG60" s="50"/>
      <c r="AH60" s="74"/>
      <c r="AI60" s="156">
        <f>IFERROR(IslandModel_1000P[[#This Row],[Quantity]]/IslandModel_1000P[[#This Row],[Target Quantity]],0)</f>
        <v>0</v>
      </c>
      <c r="AJ60" s="61" t="str">
        <f>IFERROR(INDEX(Production[Resource Produced],MATCH(IslandModel_1000P[[#This Row],[Building]],Production[Building],0)),"")</f>
        <v>Wood</v>
      </c>
      <c r="AK60" s="99">
        <f>IFERROR(IslandModel_1000P[[#This Row],[Quantity]]*INDEX(Production[Production in 1h],MATCH(IslandModel_1000P[[#This Row],[Building]],Production[Building],0))*IslandModel_1000P[[#This Row],[Input Consumption Multiplier]],0)</f>
        <v>0</v>
      </c>
      <c r="AL60" s="115">
        <f>100%</f>
        <v>1</v>
      </c>
      <c r="AM60"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60" s="77" t="str">
        <f>IFERROR(INDEX(Production[Input 1],MATCH(IslandModel_1000P[[#This Row],[Building]],Production[Building],0)),"")</f>
        <v>Land tile</v>
      </c>
      <c r="AO60" s="78"/>
      <c r="AP60"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60"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1943.3333333333333</v>
      </c>
      <c r="AR60"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60" s="35">
        <f>IFERROR(INDEX(Production[Input 2],MATCH(IslandModel_1000P[[#This Row],[Building]],Production[Building],0)),"")</f>
        <v>0</v>
      </c>
      <c r="AT60" s="78"/>
      <c r="AU60"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60"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60"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60" s="35">
        <f>IFERROR(INDEX(Production[Input 3],MATCH(IslandModel_1000P[[#This Row],[Building]],Production[Building],0)),"")</f>
        <v>0</v>
      </c>
      <c r="AY60" s="78"/>
      <c r="AZ60"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60"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60"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60" s="35">
        <f>IFERROR(INDEX(Production[Input 4],MATCH(IslandModel_1000P[[#This Row],[Building]],Production[Building],0)),"")</f>
        <v>0</v>
      </c>
      <c r="BD60" s="78"/>
      <c r="BE60"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60"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60"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60" s="35">
        <f>IFERROR(INDEX(Production[Input 5],MATCH(IslandModel_1000P[[#This Row],[Building]],Production[Building],0)),"")</f>
        <v>0</v>
      </c>
      <c r="BI60" s="78"/>
      <c r="BJ60"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60"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60"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60" s="35">
        <f>IFERROR(INDEX(Production[Input 6],MATCH(IslandModel_1000P[[#This Row],[Building]],Production[Building],0)),"")</f>
        <v>0</v>
      </c>
      <c r="BN60" s="78"/>
      <c r="BO60"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60"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60"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60" s="35">
        <f>IFERROR(INDEX(Production[Input 7],MATCH(IslandModel_1000P[[#This Row],[Building]],Production[Building],0)),"")</f>
        <v>0</v>
      </c>
      <c r="BS60" s="78"/>
      <c r="BT60"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60"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60"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60" s="35">
        <f>IFERROR(INDEX(Production[Input 8],MATCH(IslandModel_1000P[[#This Row],[Building]],Production[Building],0)),"")</f>
        <v>0</v>
      </c>
      <c r="BX60" s="78"/>
      <c r="BY60"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60"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60"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60" s="35">
        <f>IFERROR(INDEX(Production[Input 9],MATCH(IslandModel_1000P[[#This Row],[Building]],Production[Building],0)),"")</f>
        <v>0</v>
      </c>
      <c r="CC60" s="78"/>
      <c r="CD60"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60"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60"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60" s="35">
        <f>IFERROR(INDEX(Production[Input 10],MATCH(IslandModel_1000P[[#This Row],[Building]],Production[Building],0)),"")</f>
        <v>0</v>
      </c>
      <c r="CH60" s="78"/>
      <c r="CI60"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60"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60"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60"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60" s="82" t="str">
        <f>IslandModel_1000P[[#This Row],[Resource Produced]]</f>
        <v>Wood</v>
      </c>
      <c r="CN60" s="42">
        <f>IslandModel_1000P[[#This Row],[Amount produced/h]]</f>
        <v>0</v>
      </c>
      <c r="CO60" s="42" t="str">
        <f>IslandModel_1000P[[#This Row],[Input 1]]</f>
        <v>Land tile</v>
      </c>
      <c r="CP60" s="42">
        <f>-IslandModel_1000P[[#This Row],[Input 1 Consumed]]</f>
        <v>0</v>
      </c>
      <c r="CQ60" s="42">
        <f>IslandModel_1000P[[#This Row],[Input 2]]</f>
        <v>0</v>
      </c>
      <c r="CR60" s="42">
        <f>-IslandModel_1000P[[#This Row],[Input 2 Consumed]]</f>
        <v>0</v>
      </c>
      <c r="CS60" s="42">
        <f>IslandModel_1000P[[#This Row],[Input 3]]</f>
        <v>0</v>
      </c>
      <c r="CT60" s="42">
        <f>-IslandModel_1000P[[#This Row],[Input 3 Consumed]]</f>
        <v>0</v>
      </c>
      <c r="CU60" s="42">
        <f>IslandModel_1000P[[#This Row],[Input 4]]</f>
        <v>0</v>
      </c>
      <c r="CV60" s="42">
        <f>-IslandModel_1000P[[#This Row],[Input 4 Consumed]]</f>
        <v>0</v>
      </c>
      <c r="CW60" s="42">
        <f>IslandModel_1000P[[#This Row],[Input 5]]</f>
        <v>0</v>
      </c>
      <c r="CX60" s="42">
        <f>-IslandModel_1000P[[#This Row],[Input 5 Consumed]]</f>
        <v>0</v>
      </c>
      <c r="CY60" s="42">
        <f>IslandModel_1000P[[#This Row],[Input 6]]</f>
        <v>0</v>
      </c>
      <c r="CZ60" s="42">
        <f>-IslandModel_1000P[[#This Row],[Input 6 Consumed]]</f>
        <v>0</v>
      </c>
      <c r="DA60" s="42">
        <f>IslandModel_1000P[[#This Row],[Input 7]]</f>
        <v>0</v>
      </c>
      <c r="DB60" s="42">
        <f>-IslandModel_1000P[[#This Row],[Input 7 Consumed]]</f>
        <v>0</v>
      </c>
      <c r="DC60" s="42">
        <f>IslandModel_1000P[[#This Row],[Input 8]]</f>
        <v>0</v>
      </c>
      <c r="DD60" s="42">
        <f>-IslandModel_1000P[[#This Row],[Input 8 Consumed]]</f>
        <v>0</v>
      </c>
      <c r="DE60" s="42">
        <f>IslandModel_1000P[[#This Row],[Input 9]]</f>
        <v>0</v>
      </c>
      <c r="DF60" s="42">
        <f>-IslandModel_1000P[[#This Row],[Input 9 Consumed]]</f>
        <v>0</v>
      </c>
      <c r="DG60" s="42">
        <f>IslandModel_1000P[[#This Row],[Input 10]]</f>
        <v>0</v>
      </c>
      <c r="DH60" s="42">
        <f>-IslandModel_1000P[[#This Row],[Input 10 Consumed]]</f>
        <v>0</v>
      </c>
      <c r="DJ60" t="s">
        <v>105</v>
      </c>
      <c r="DK60" s="39">
        <f>SUM(SUMIFS(IslandModel_1000P[Resource 1 Qty],IslandModel_1000P[Resource 1],ResourceAvailable_1000P[[#This Row],[Resource]]))</f>
        <v>120</v>
      </c>
      <c r="DL60"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120</v>
      </c>
      <c r="DM60" s="39">
        <f>ResourceAvailable_1000P[[#This Row],[Amount Produced]]-ResourceAvailable_1000P[[#This Row],[Amount Consumed]]</f>
        <v>0</v>
      </c>
      <c r="DN60" s="20">
        <f>MAX(0,ResourceAvailable_1000P[[#This Row],[Amount Available for Resident Consumption]]-SUMIFS(ConsumptionModel_1000P[Resource Demand],ConsumptionModel_1000P[Resource],ResourceAvailable_1000P[[#This Row],[Resource]]))</f>
        <v>0</v>
      </c>
    </row>
    <row r="61" spans="2:118" ht="21" x14ac:dyDescent="0.65">
      <c r="B61" s="178">
        <f>ROW()</f>
        <v>61</v>
      </c>
      <c r="C61" s="70">
        <f>INDEX(ConsumptionModelInputs_1000P[Quantity],MATCH(ConsumptionModel_1000P[[#This Row],[Building]],ConsumptionModelInputs_1000P[Building],0))</f>
        <v>34</v>
      </c>
      <c r="D61" s="179" t="s">
        <v>59</v>
      </c>
      <c r="E61" s="179" t="s">
        <v>152</v>
      </c>
      <c r="F61" s="64" t="str">
        <f>IF(OR(ISBLANK(ConsumptionModel_1000P[[#This Row],[Building]]),ISBLANK(ConsumptionModel_1000P[[#This Row],[Resource]]))," - ",INDEX(Consumption[Type],MATCH(ConsumptionModel_1000P[[#This Row],[LookupValue]],Consumption[LookupValue],0)))</f>
        <v>Need</v>
      </c>
      <c r="G61" s="61" t="str">
        <f>IF(OR(ISBLANK(ConsumptionModel_1000P[[#This Row],[Building]]),ISBLANK(ConsumptionModel_1000P[[#This Row],[Resource]]))," - ",ConsumptionModel_1000P[[#This Row],[Building]]&amp;" - "&amp;ConsumptionModel_1000P[[#This Row],[Resource]])</f>
        <v>Paragon's Residence - Medical Care</v>
      </c>
      <c r="H61" s="62">
        <f>ConsumptionModel_1000P[[#This Row],[Quantity]]*INDEX(Consumption[Consumption/person/h],MATCH(ConsumptionModel_1000P[[#This Row],[LookupValue]],Consumption[LookupValue],0))*IFERROR(INDEX(ResidentBuildings[Residents],MATCH(ConsumptionModel_1000P[[#This Row],[Building]],ResidentBuildings[Building],0)),0)</f>
        <v>0</v>
      </c>
      <c r="I61"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3</v>
      </c>
      <c r="J61" s="65">
        <f>IF(ConsumptionModel_1000P[[#This Row],[Quantity]]=0,"",IF(AND(ConsumptionModel_1000P[[#This Row],[Resource Demand]]=0,ConsumptionModel_1000P[[#This Row],[Resource Available]]&gt;0),1,MIN(1,IFERROR(ConsumptionModel_1000P[[#This Row],[Resource Available]]/ConsumptionModel_1000P[[#This Row],[Resource Demand]],0))))</f>
        <v>1</v>
      </c>
      <c r="K61"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61" s="197"/>
      <c r="P61" s="71">
        <f>SUMIFS(ResourceAvailable_1000P[Amount Produced],ResourceAvailable_1000P[Resource],ResourceMonitor_1000P[[#This Row],[Resource]])</f>
        <v>0</v>
      </c>
      <c r="Q61" s="71">
        <f>SUMIFS(ResourceAvailable_1000P[Amount Consumed],ResourceAvailable_1000P[Resource],ResourceMonitor_1000P[[#This Row],[Resource]])</f>
        <v>0</v>
      </c>
      <c r="R61" s="71">
        <f>SUMIFS(ResourceAvailable_1000P[Amount Available for Resident Consumption],ResourceAvailable_1000P[Resource],ResourceMonitor_1000P[[#This Row],[Resource]])</f>
        <v>0</v>
      </c>
      <c r="S61" s="39">
        <f>MAX(0,ResourceMonitor_1000P[[#This Row],[Amount Available for Resident Consumption]]-SUMIFS(ConsumptionModel_1000P[Resource Demand],ConsumptionModel_1000P[Resource],ResourceMonitor_1000P[[#This Row],[Resource]]))</f>
        <v>0</v>
      </c>
      <c r="T61" s="39">
        <f>MIN(0,ResourceMonitor_1000P[[#This Row],[Amount Available for Resident Consumption]]-SUMIFS(ConsumptionModel_1000P[Resource Demand],ConsumptionModel_1000P[Resource],ResourceMonitor_1000P[[#This Row],[Resource]]))</f>
        <v>0</v>
      </c>
      <c r="U61" s="122">
        <f>IFERROR(INDEX(#REF!,MATCH(ResourceMonitor_1000P[[#This Row],[Resource]],#REF!,0)),0)</f>
        <v>0</v>
      </c>
      <c r="V61" s="194">
        <f>IFERROR(ResourceMonitor_1000P[[#This Row],[Amount Produced]]/ResourceMonitor_1000P[[#This Row],[Production Target]],0)</f>
        <v>0</v>
      </c>
      <c r="W61" s="133"/>
      <c r="X61" s="47">
        <f>IF(ResourceMonitor_1000P[[#This Row],[Ignore shipping needs?]]="Yes",0,ROUNDUP(ResourceMonitor_1000P[[#This Row],[Production Target]]/INDEX(ShipRequirementCalculator[Cargo capacity/h (return, 50% empty)],MATCH($X$15,ShipRequirementCalculator[Ship],0)),0))</f>
        <v>0</v>
      </c>
      <c r="Y61" s="47">
        <f>IF(ResourceMonitor_1000P[[#This Row],[Ignore shipping needs?]]="Yes",0,ROUNDUP(ResourceMonitor_1000P[[#This Row],[Production Target]]/INDEX(ShipRequirementCalculator[Cargo capacity/h (return, 50% empty)],MATCH($Y$15,ShipRequirementCalculator[Ship],0)),0))</f>
        <v>0</v>
      </c>
      <c r="Z61" s="47">
        <f>IF(ResourceMonitor_1000P[[#This Row],[Ignore shipping needs?]]="Yes",0,ROUNDUP(ResourceMonitor_1000P[[#This Row],[Production Target]]/INDEX(ShipRequirementCalculator[Cargo capacity/h (return, 50% empty)],MATCH($Z$15,ShipRequirementCalculator[Ship],0)),0))</f>
        <v>0</v>
      </c>
      <c r="AA61" s="124"/>
      <c r="AC61" s="103" t="s">
        <v>167</v>
      </c>
      <c r="AD61" s="83">
        <f>ROW()</f>
        <v>61</v>
      </c>
      <c r="AE61" s="74"/>
      <c r="AF61" s="50" t="s">
        <v>858</v>
      </c>
      <c r="AG61" s="50"/>
      <c r="AH61" s="74"/>
      <c r="AI61" s="156">
        <f>IFERROR(IslandModel_1000P[[#This Row],[Quantity]]/IslandModel_1000P[[#This Row],[Target Quantity]],0)</f>
        <v>0</v>
      </c>
      <c r="AJ61" s="61" t="str">
        <f>IFERROR(INDEX(Production[Resource Produced],MATCH(IslandModel_1000P[[#This Row],[Building]],Production[Building],0)),"")</f>
        <v>Coal</v>
      </c>
      <c r="AK61" s="99">
        <f>IFERROR(IslandModel_1000P[[#This Row],[Quantity]]*INDEX(Production[Production in 1h],MATCH(IslandModel_1000P[[#This Row],[Building]],Production[Building],0))*IslandModel_1000P[[#This Row],[Input Consumption Multiplier]],0)</f>
        <v>0</v>
      </c>
      <c r="AL61" s="115">
        <v>0</v>
      </c>
      <c r="AM61"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61" s="77" t="str">
        <f>IFERROR(INDEX(Production[Input 1],MATCH(IslandModel_1000P[[#This Row],[Building]],Production[Building],0)),"")</f>
        <v>Land tile</v>
      </c>
      <c r="AO61" s="78"/>
      <c r="AP61"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61"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1943.3333333333333</v>
      </c>
      <c r="AR61"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61" s="35" t="str">
        <f>IFERROR(INDEX(Production[Input 2],MATCH(IslandModel_1000P[[#This Row],[Building]],Production[Building],0)),"")</f>
        <v>Wood</v>
      </c>
      <c r="AT61" s="78"/>
      <c r="AU61"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61"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61"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61" s="35">
        <f>IFERROR(INDEX(Production[Input 3],MATCH(IslandModel_1000P[[#This Row],[Building]],Production[Building],0)),"")</f>
        <v>0</v>
      </c>
      <c r="AY61" s="78"/>
      <c r="AZ61"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61"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61"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61" s="35">
        <f>IFERROR(INDEX(Production[Input 4],MATCH(IslandModel_1000P[[#This Row],[Building]],Production[Building],0)),"")</f>
        <v>0</v>
      </c>
      <c r="BD61" s="78"/>
      <c r="BE61"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61"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61"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61" s="35">
        <f>IFERROR(INDEX(Production[Input 5],MATCH(IslandModel_1000P[[#This Row],[Building]],Production[Building],0)),"")</f>
        <v>0</v>
      </c>
      <c r="BI61" s="78"/>
      <c r="BJ61"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61"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61"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61" s="35">
        <f>IFERROR(INDEX(Production[Input 6],MATCH(IslandModel_1000P[[#This Row],[Building]],Production[Building],0)),"")</f>
        <v>0</v>
      </c>
      <c r="BN61" s="78"/>
      <c r="BO61"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61"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61"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61" s="35">
        <f>IFERROR(INDEX(Production[Input 7],MATCH(IslandModel_1000P[[#This Row],[Building]],Production[Building],0)),"")</f>
        <v>0</v>
      </c>
      <c r="BS61" s="78"/>
      <c r="BT61"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61"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61"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61" s="35">
        <f>IFERROR(INDEX(Production[Input 8],MATCH(IslandModel_1000P[[#This Row],[Building]],Production[Building],0)),"")</f>
        <v>0</v>
      </c>
      <c r="BX61" s="78"/>
      <c r="BY61"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61"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61"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61" s="35">
        <f>IFERROR(INDEX(Production[Input 9],MATCH(IslandModel_1000P[[#This Row],[Building]],Production[Building],0)),"")</f>
        <v>0</v>
      </c>
      <c r="CC61" s="78"/>
      <c r="CD61"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61"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61"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61" s="35">
        <f>IFERROR(INDEX(Production[Input 10],MATCH(IslandModel_1000P[[#This Row],[Building]],Production[Building],0)),"")</f>
        <v>0</v>
      </c>
      <c r="CH61" s="78"/>
      <c r="CI61"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61"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61"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61"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0</v>
      </c>
      <c r="CM61" s="82" t="str">
        <f>IslandModel_1000P[[#This Row],[Resource Produced]]</f>
        <v>Coal</v>
      </c>
      <c r="CN61" s="42">
        <f>IslandModel_1000P[[#This Row],[Amount produced/h]]</f>
        <v>0</v>
      </c>
      <c r="CO61" s="42" t="str">
        <f>IslandModel_1000P[[#This Row],[Input 1]]</f>
        <v>Land tile</v>
      </c>
      <c r="CP61" s="42">
        <f>-IslandModel_1000P[[#This Row],[Input 1 Consumed]]</f>
        <v>0</v>
      </c>
      <c r="CQ61" s="42" t="str">
        <f>IslandModel_1000P[[#This Row],[Input 2]]</f>
        <v>Wood</v>
      </c>
      <c r="CR61" s="42">
        <f>-IslandModel_1000P[[#This Row],[Input 2 Consumed]]</f>
        <v>0</v>
      </c>
      <c r="CS61" s="42">
        <f>IslandModel_1000P[[#This Row],[Input 3]]</f>
        <v>0</v>
      </c>
      <c r="CT61" s="42">
        <f>-IslandModel_1000P[[#This Row],[Input 3 Consumed]]</f>
        <v>0</v>
      </c>
      <c r="CU61" s="42">
        <f>IslandModel_1000P[[#This Row],[Input 4]]</f>
        <v>0</v>
      </c>
      <c r="CV61" s="42">
        <f>-IslandModel_1000P[[#This Row],[Input 4 Consumed]]</f>
        <v>0</v>
      </c>
      <c r="CW61" s="42">
        <f>IslandModel_1000P[[#This Row],[Input 5]]</f>
        <v>0</v>
      </c>
      <c r="CX61" s="42">
        <f>-IslandModel_1000P[[#This Row],[Input 5 Consumed]]</f>
        <v>0</v>
      </c>
      <c r="CY61" s="42">
        <f>IslandModel_1000P[[#This Row],[Input 6]]</f>
        <v>0</v>
      </c>
      <c r="CZ61" s="42">
        <f>-IslandModel_1000P[[#This Row],[Input 6 Consumed]]</f>
        <v>0</v>
      </c>
      <c r="DA61" s="42">
        <f>IslandModel_1000P[[#This Row],[Input 7]]</f>
        <v>0</v>
      </c>
      <c r="DB61" s="42">
        <f>-IslandModel_1000P[[#This Row],[Input 7 Consumed]]</f>
        <v>0</v>
      </c>
      <c r="DC61" s="42">
        <f>IslandModel_1000P[[#This Row],[Input 8]]</f>
        <v>0</v>
      </c>
      <c r="DD61" s="42">
        <f>-IslandModel_1000P[[#This Row],[Input 8 Consumed]]</f>
        <v>0</v>
      </c>
      <c r="DE61" s="42">
        <f>IslandModel_1000P[[#This Row],[Input 9]]</f>
        <v>0</v>
      </c>
      <c r="DF61" s="42">
        <f>-IslandModel_1000P[[#This Row],[Input 9 Consumed]]</f>
        <v>0</v>
      </c>
      <c r="DG61" s="42">
        <f>IslandModel_1000P[[#This Row],[Input 10]]</f>
        <v>0</v>
      </c>
      <c r="DH61" s="42">
        <f>-IslandModel_1000P[[#This Row],[Input 10 Consumed]]</f>
        <v>0</v>
      </c>
      <c r="DJ61" s="55" t="s">
        <v>393</v>
      </c>
      <c r="DK61" s="39">
        <f>SUM(SUMIFS(IslandModel_1000P[Resource 1 Qty],IslandModel_1000P[Resource 1],ResourceAvailable_1000P[[#This Row],[Resource]]))</f>
        <v>0</v>
      </c>
      <c r="DL61"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61" s="39">
        <f>ResourceAvailable_1000P[[#This Row],[Amount Produced]]-ResourceAvailable_1000P[[#This Row],[Amount Consumed]]</f>
        <v>0</v>
      </c>
      <c r="DN61" s="20">
        <f>MAX(0,ResourceAvailable_1000P[[#This Row],[Amount Available for Resident Consumption]]-SUMIFS(ConsumptionModel_1000P[Resource Demand],ConsumptionModel_1000P[Resource],ResourceAvailable_1000P[[#This Row],[Resource]]))</f>
        <v>0</v>
      </c>
    </row>
    <row r="62" spans="2:118" ht="21" x14ac:dyDescent="0.65">
      <c r="B62" s="178">
        <f>ROW()</f>
        <v>62</v>
      </c>
      <c r="C62" s="70">
        <f>INDEX(ConsumptionModelInputs_1000P[Quantity],MATCH(ConsumptionModel_1000P[[#This Row],[Building]],ConsumptionModelInputs_1000P[Building],0))</f>
        <v>34</v>
      </c>
      <c r="D62" s="179" t="s">
        <v>59</v>
      </c>
      <c r="E62" s="179" t="s">
        <v>337</v>
      </c>
      <c r="F62" s="64" t="str">
        <f>IF(OR(ISBLANK(ConsumptionModel_1000P[[#This Row],[Building]]),ISBLANK(ConsumptionModel_1000P[[#This Row],[Resource]]))," - ",INDEX(Consumption[Type],MATCH(ConsumptionModel_1000P[[#This Row],[LookupValue]],Consumption[LookupValue],0)))</f>
        <v>Need</v>
      </c>
      <c r="G62" s="61" t="str">
        <f>IF(OR(ISBLANK(ConsumptionModel_1000P[[#This Row],[Building]]),ISBLANK(ConsumptionModel_1000P[[#This Row],[Resource]]))," - ",ConsumptionModel_1000P[[#This Row],[Building]]&amp;" - "&amp;ConsumptionModel_1000P[[#This Row],[Resource]])</f>
        <v>Paragon's Residence - Hygiene</v>
      </c>
      <c r="H62" s="62">
        <f>ConsumptionModel_1000P[[#This Row],[Quantity]]*INDEX(Consumption[Consumption/person/h],MATCH(ConsumptionModel_1000P[[#This Row],[LookupValue]],Consumption[LookupValue],0))*IFERROR(INDEX(ResidentBuildings[Residents],MATCH(ConsumptionModel_1000P[[#This Row],[Building]],ResidentBuildings[Building],0)),0)</f>
        <v>0</v>
      </c>
      <c r="I62"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2</v>
      </c>
      <c r="J62" s="65">
        <f>IF(ConsumptionModel_1000P[[#This Row],[Quantity]]=0,"",IF(AND(ConsumptionModel_1000P[[#This Row],[Resource Demand]]=0,ConsumptionModel_1000P[[#This Row],[Resource Available]]&gt;0),1,MIN(1,IFERROR(ConsumptionModel_1000P[[#This Row],[Resource Available]]/ConsumptionModel_1000P[[#This Row],[Resource Demand]],0))))</f>
        <v>1</v>
      </c>
      <c r="K62"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0</v>
      </c>
      <c r="O62" s="197"/>
      <c r="P62" s="71">
        <f>SUMIFS(ResourceAvailable_1000P[Amount Produced],ResourceAvailable_1000P[Resource],ResourceMonitor_1000P[[#This Row],[Resource]])</f>
        <v>0</v>
      </c>
      <c r="Q62" s="71">
        <f>SUMIFS(ResourceAvailable_1000P[Amount Consumed],ResourceAvailable_1000P[Resource],ResourceMonitor_1000P[[#This Row],[Resource]])</f>
        <v>0</v>
      </c>
      <c r="R62" s="71">
        <f>SUMIFS(ResourceAvailable_1000P[Amount Available for Resident Consumption],ResourceAvailable_1000P[Resource],ResourceMonitor_1000P[[#This Row],[Resource]])</f>
        <v>0</v>
      </c>
      <c r="S62" s="39">
        <f>MAX(0,ResourceMonitor_1000P[[#This Row],[Amount Available for Resident Consumption]]-SUMIFS(ConsumptionModel_1000P[Resource Demand],ConsumptionModel_1000P[Resource],ResourceMonitor_1000P[[#This Row],[Resource]]))</f>
        <v>0</v>
      </c>
      <c r="T62" s="39">
        <f>MIN(0,ResourceMonitor_1000P[[#This Row],[Amount Available for Resident Consumption]]-SUMIFS(ConsumptionModel_1000P[Resource Demand],ConsumptionModel_1000P[Resource],ResourceMonitor_1000P[[#This Row],[Resource]]))</f>
        <v>0</v>
      </c>
      <c r="U62" s="122">
        <f>IFERROR(INDEX(#REF!,MATCH(ResourceMonitor_1000P[[#This Row],[Resource]],#REF!,0)),0)</f>
        <v>0</v>
      </c>
      <c r="V62" s="194">
        <f>IFERROR(ResourceMonitor_1000P[[#This Row],[Amount Produced]]/ResourceMonitor_1000P[[#This Row],[Production Target]],0)</f>
        <v>0</v>
      </c>
      <c r="W62" s="133"/>
      <c r="X62" s="47">
        <f>IF(ResourceMonitor_1000P[[#This Row],[Ignore shipping needs?]]="Yes",0,ROUNDUP(ResourceMonitor_1000P[[#This Row],[Production Target]]/INDEX(ShipRequirementCalculator[Cargo capacity/h (return, 50% empty)],MATCH($X$15,ShipRequirementCalculator[Ship],0)),0))</f>
        <v>0</v>
      </c>
      <c r="Y62" s="47">
        <f>IF(ResourceMonitor_1000P[[#This Row],[Ignore shipping needs?]]="Yes",0,ROUNDUP(ResourceMonitor_1000P[[#This Row],[Production Target]]/INDEX(ShipRequirementCalculator[Cargo capacity/h (return, 50% empty)],MATCH($Y$15,ShipRequirementCalculator[Ship],0)),0))</f>
        <v>0</v>
      </c>
      <c r="Z62" s="47">
        <f>IF(ResourceMonitor_1000P[[#This Row],[Ignore shipping needs?]]="Yes",0,ROUNDUP(ResourceMonitor_1000P[[#This Row],[Production Target]]/INDEX(ShipRequirementCalculator[Cargo capacity/h (return, 50% empty)],MATCH($Z$15,ShipRequirementCalculator[Ship],0)),0))</f>
        <v>0</v>
      </c>
      <c r="AA62" s="124"/>
      <c r="AC62" s="103" t="s">
        <v>167</v>
      </c>
      <c r="AD62" s="83">
        <f>ROW()</f>
        <v>62</v>
      </c>
      <c r="AE62" s="74"/>
      <c r="AF62" s="50" t="s">
        <v>163</v>
      </c>
      <c r="AG62" s="50"/>
      <c r="AH62" s="74"/>
      <c r="AI62" s="156">
        <f>IFERROR(IslandModel_1000P[[#This Row],[Quantity]]/IslandModel_1000P[[#This Row],[Target Quantity]],0)</f>
        <v>0</v>
      </c>
      <c r="AJ62" s="61" t="str">
        <f>IFERROR(INDEX(Production[Resource Produced],MATCH(IslandModel_1000P[[#This Row],[Building]],Production[Building],0)),"")</f>
        <v>Rock Salt</v>
      </c>
      <c r="AK62" s="99">
        <f>IFERROR(IslandModel_1000P[[#This Row],[Quantity]]*INDEX(Production[Production in 1h],MATCH(IslandModel_1000P[[#This Row],[Building]],Production[Building],0))*IslandModel_1000P[[#This Row],[Input Consumption Multiplier]],0)</f>
        <v>0</v>
      </c>
      <c r="AL62" s="115">
        <v>0</v>
      </c>
      <c r="AM62"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62" s="77" t="str">
        <f>IFERROR(INDEX(Production[Input 1],MATCH(IslandModel_1000P[[#This Row],[Building]],Production[Building],0)),"")</f>
        <v>Mountain tile</v>
      </c>
      <c r="AO62" s="78"/>
      <c r="AP62"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62"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320</v>
      </c>
      <c r="AR62"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62" s="35">
        <f>IFERROR(INDEX(Production[Input 2],MATCH(IslandModel_1000P[[#This Row],[Building]],Production[Building],0)),"")</f>
        <v>0</v>
      </c>
      <c r="AT62" s="78"/>
      <c r="AU62"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62"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62"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62" s="35">
        <f>IFERROR(INDEX(Production[Input 3],MATCH(IslandModel_1000P[[#This Row],[Building]],Production[Building],0)),"")</f>
        <v>0</v>
      </c>
      <c r="AY62" s="78"/>
      <c r="AZ62"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62"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62"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62" s="35">
        <f>IFERROR(INDEX(Production[Input 4],MATCH(IslandModel_1000P[[#This Row],[Building]],Production[Building],0)),"")</f>
        <v>0</v>
      </c>
      <c r="BD62" s="78"/>
      <c r="BE62"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62"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62"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62" s="35">
        <f>IFERROR(INDEX(Production[Input 5],MATCH(IslandModel_1000P[[#This Row],[Building]],Production[Building],0)),"")</f>
        <v>0</v>
      </c>
      <c r="BI62" s="78"/>
      <c r="BJ62"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62"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62"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62" s="35">
        <f>IFERROR(INDEX(Production[Input 6],MATCH(IslandModel_1000P[[#This Row],[Building]],Production[Building],0)),"")</f>
        <v>0</v>
      </c>
      <c r="BN62" s="78"/>
      <c r="BO62"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62"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62"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62" s="35">
        <f>IFERROR(INDEX(Production[Input 7],MATCH(IslandModel_1000P[[#This Row],[Building]],Production[Building],0)),"")</f>
        <v>0</v>
      </c>
      <c r="BS62" s="78"/>
      <c r="BT62"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62"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62"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62" s="35">
        <f>IFERROR(INDEX(Production[Input 8],MATCH(IslandModel_1000P[[#This Row],[Building]],Production[Building],0)),"")</f>
        <v>0</v>
      </c>
      <c r="BX62" s="78"/>
      <c r="BY62"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62"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62"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62" s="35">
        <f>IFERROR(INDEX(Production[Input 9],MATCH(IslandModel_1000P[[#This Row],[Building]],Production[Building],0)),"")</f>
        <v>0</v>
      </c>
      <c r="CC62" s="78"/>
      <c r="CD62"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62"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62"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62" s="35">
        <f>IFERROR(INDEX(Production[Input 10],MATCH(IslandModel_1000P[[#This Row],[Building]],Production[Building],0)),"")</f>
        <v>0</v>
      </c>
      <c r="CH62" s="78"/>
      <c r="CI62"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62"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62"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62"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0</v>
      </c>
      <c r="CM62" s="82" t="str">
        <f>IslandModel_1000P[[#This Row],[Resource Produced]]</f>
        <v>Rock Salt</v>
      </c>
      <c r="CN62" s="42">
        <f>IslandModel_1000P[[#This Row],[Amount produced/h]]</f>
        <v>0</v>
      </c>
      <c r="CO62" s="42" t="str">
        <f>IslandModel_1000P[[#This Row],[Input 1]]</f>
        <v>Mountain tile</v>
      </c>
      <c r="CP62" s="42">
        <f>-IslandModel_1000P[[#This Row],[Input 1 Consumed]]</f>
        <v>0</v>
      </c>
      <c r="CQ62" s="42">
        <f>IslandModel_1000P[[#This Row],[Input 2]]</f>
        <v>0</v>
      </c>
      <c r="CR62" s="42">
        <f>-IslandModel_1000P[[#This Row],[Input 2 Consumed]]</f>
        <v>0</v>
      </c>
      <c r="CS62" s="42">
        <f>IslandModel_1000P[[#This Row],[Input 3]]</f>
        <v>0</v>
      </c>
      <c r="CT62" s="42">
        <f>-IslandModel_1000P[[#This Row],[Input 3 Consumed]]</f>
        <v>0</v>
      </c>
      <c r="CU62" s="42">
        <f>IslandModel_1000P[[#This Row],[Input 4]]</f>
        <v>0</v>
      </c>
      <c r="CV62" s="42">
        <f>-IslandModel_1000P[[#This Row],[Input 4 Consumed]]</f>
        <v>0</v>
      </c>
      <c r="CW62" s="42">
        <f>IslandModel_1000P[[#This Row],[Input 5]]</f>
        <v>0</v>
      </c>
      <c r="CX62" s="42">
        <f>-IslandModel_1000P[[#This Row],[Input 5 Consumed]]</f>
        <v>0</v>
      </c>
      <c r="CY62" s="42">
        <f>IslandModel_1000P[[#This Row],[Input 6]]</f>
        <v>0</v>
      </c>
      <c r="CZ62" s="42">
        <f>-IslandModel_1000P[[#This Row],[Input 6 Consumed]]</f>
        <v>0</v>
      </c>
      <c r="DA62" s="42">
        <f>IslandModel_1000P[[#This Row],[Input 7]]</f>
        <v>0</v>
      </c>
      <c r="DB62" s="42">
        <f>-IslandModel_1000P[[#This Row],[Input 7 Consumed]]</f>
        <v>0</v>
      </c>
      <c r="DC62" s="42">
        <f>IslandModel_1000P[[#This Row],[Input 8]]</f>
        <v>0</v>
      </c>
      <c r="DD62" s="42">
        <f>-IslandModel_1000P[[#This Row],[Input 8 Consumed]]</f>
        <v>0</v>
      </c>
      <c r="DE62" s="42">
        <f>IslandModel_1000P[[#This Row],[Input 9]]</f>
        <v>0</v>
      </c>
      <c r="DF62" s="42">
        <f>-IslandModel_1000P[[#This Row],[Input 9 Consumed]]</f>
        <v>0</v>
      </c>
      <c r="DG62" s="42">
        <f>IslandModel_1000P[[#This Row],[Input 10]]</f>
        <v>0</v>
      </c>
      <c r="DH62" s="42">
        <f>-IslandModel_1000P[[#This Row],[Input 10 Consumed]]</f>
        <v>0</v>
      </c>
      <c r="DJ62" s="55" t="s">
        <v>81</v>
      </c>
      <c r="DK62" s="39">
        <f>SUM(SUMIFS(IslandModel_1000P[Resource 1 Qty],IslandModel_1000P[Resource 1],ResourceAvailable_1000P[[#This Row],[Resource]]))</f>
        <v>0</v>
      </c>
      <c r="DL62"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62" s="39">
        <f>ResourceAvailable_1000P[[#This Row],[Amount Produced]]-ResourceAvailable_1000P[[#This Row],[Amount Consumed]]</f>
        <v>0</v>
      </c>
      <c r="DN62" s="20">
        <f>MAX(0,ResourceAvailable_1000P[[#This Row],[Amount Available for Resident Consumption]]-SUMIFS(ConsumptionModel_1000P[Resource Demand],ConsumptionModel_1000P[Resource],ResourceAvailable_1000P[[#This Row],[Resource]]))</f>
        <v>0</v>
      </c>
    </row>
    <row r="63" spans="2:118" ht="21" x14ac:dyDescent="0.65">
      <c r="B63" s="178">
        <f>ROW()</f>
        <v>63</v>
      </c>
      <c r="C63" s="70">
        <f>INDEX(ConsumptionModelInputs_1000P[Quantity],MATCH(ConsumptionModel_1000P[[#This Row],[Building]],ConsumptionModelInputs_1000P[Building],0))</f>
        <v>34</v>
      </c>
      <c r="D63" s="179" t="s">
        <v>59</v>
      </c>
      <c r="E63" s="179" t="s">
        <v>372</v>
      </c>
      <c r="F63" s="64" t="str">
        <f>IF(OR(ISBLANK(ConsumptionModel_1000P[[#This Row],[Building]]),ISBLANK(ConsumptionModel_1000P[[#This Row],[Resource]]))," - ",INDEX(Consumption[Type],MATCH(ConsumptionModel_1000P[[#This Row],[LookupValue]],Consumption[LookupValue],0)))</f>
        <v>Luxury</v>
      </c>
      <c r="G63" s="61" t="str">
        <f>IF(OR(ISBLANK(ConsumptionModel_1000P[[#This Row],[Building]]),ISBLANK(ConsumptionModel_1000P[[#This Row],[Resource]]))," - ",ConsumptionModel_1000P[[#This Row],[Building]]&amp;" - "&amp;ConsumptionModel_1000P[[#This Row],[Resource]])</f>
        <v>Paragon's Residence - Garment</v>
      </c>
      <c r="H63" s="62">
        <f>ConsumptionModel_1000P[[#This Row],[Quantity]]*INDEX(Consumption[Consumption/person/h],MATCH(ConsumptionModel_1000P[[#This Row],[LookupValue]],Consumption[LookupValue],0))*IFERROR(INDEX(ResidentBuildings[Residents],MATCH(ConsumptionModel_1000P[[#This Row],[Building]],ResidentBuildings[Building],0)),0)</f>
        <v>244.8</v>
      </c>
      <c r="I63"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245.625</v>
      </c>
      <c r="J63" s="65">
        <f>IF(ConsumptionModel_1000P[[#This Row],[Quantity]]=0,"",IF(AND(ConsumptionModel_1000P[[#This Row],[Resource Demand]]=0,ConsumptionModel_1000P[[#This Row],[Resource Available]]&gt;0),1,MIN(1,IFERROR(ConsumptionModel_1000P[[#This Row],[Resource Available]]/ConsumptionModel_1000P[[#This Row],[Resource Demand]],0))))</f>
        <v>1</v>
      </c>
      <c r="K63"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3.6719999999999997</v>
      </c>
      <c r="O63" s="197"/>
      <c r="P63" s="71">
        <f>SUMIFS(ResourceAvailable_1000P[Amount Produced],ResourceAvailable_1000P[Resource],ResourceMonitor_1000P[[#This Row],[Resource]])</f>
        <v>0</v>
      </c>
      <c r="Q63" s="71">
        <f>SUMIFS(ResourceAvailable_1000P[Amount Consumed],ResourceAvailable_1000P[Resource],ResourceMonitor_1000P[[#This Row],[Resource]])</f>
        <v>0</v>
      </c>
      <c r="R63" s="71">
        <f>SUMIFS(ResourceAvailable_1000P[Amount Available for Resident Consumption],ResourceAvailable_1000P[Resource],ResourceMonitor_1000P[[#This Row],[Resource]])</f>
        <v>0</v>
      </c>
      <c r="S63" s="39">
        <f>MAX(0,ResourceMonitor_1000P[[#This Row],[Amount Available for Resident Consumption]]-SUMIFS(ConsumptionModel_1000P[Resource Demand],ConsumptionModel_1000P[Resource],ResourceMonitor_1000P[[#This Row],[Resource]]))</f>
        <v>0</v>
      </c>
      <c r="T63" s="39">
        <f>MIN(0,ResourceMonitor_1000P[[#This Row],[Amount Available for Resident Consumption]]-SUMIFS(ConsumptionModel_1000P[Resource Demand],ConsumptionModel_1000P[Resource],ResourceMonitor_1000P[[#This Row],[Resource]]))</f>
        <v>0</v>
      </c>
      <c r="U63" s="122">
        <f>IFERROR(INDEX(#REF!,MATCH(ResourceMonitor_1000P[[#This Row],[Resource]],#REF!,0)),0)</f>
        <v>0</v>
      </c>
      <c r="V63" s="194">
        <f>IFERROR(ResourceMonitor_1000P[[#This Row],[Amount Produced]]/ResourceMonitor_1000P[[#This Row],[Production Target]],0)</f>
        <v>0</v>
      </c>
      <c r="W63" s="133"/>
      <c r="X63" s="47">
        <f>IF(ResourceMonitor_1000P[[#This Row],[Ignore shipping needs?]]="Yes",0,ROUNDUP(ResourceMonitor_1000P[[#This Row],[Production Target]]/INDEX(ShipRequirementCalculator[Cargo capacity/h (return, 50% empty)],MATCH($X$15,ShipRequirementCalculator[Ship],0)),0))</f>
        <v>0</v>
      </c>
      <c r="Y63" s="47">
        <f>IF(ResourceMonitor_1000P[[#This Row],[Ignore shipping needs?]]="Yes",0,ROUNDUP(ResourceMonitor_1000P[[#This Row],[Production Target]]/INDEX(ShipRequirementCalculator[Cargo capacity/h (return, 50% empty)],MATCH($Y$15,ShipRequirementCalculator[Ship],0)),0))</f>
        <v>0</v>
      </c>
      <c r="Z63" s="47">
        <f>IF(ResourceMonitor_1000P[[#This Row],[Ignore shipping needs?]]="Yes",0,ROUNDUP(ResourceMonitor_1000P[[#This Row],[Production Target]]/INDEX(ShipRequirementCalculator[Cargo capacity/h (return, 50% empty)],MATCH($Z$15,ShipRequirementCalculator[Ship],0)),0))</f>
        <v>0</v>
      </c>
      <c r="AA63" s="124"/>
      <c r="AC63" s="103" t="s">
        <v>167</v>
      </c>
      <c r="AD63" s="83">
        <f>ROW()</f>
        <v>63</v>
      </c>
      <c r="AE63" s="74"/>
      <c r="AF63" s="50" t="s">
        <v>517</v>
      </c>
      <c r="AG63" s="50"/>
      <c r="AH63" s="74"/>
      <c r="AI63" s="156">
        <f>IFERROR(IslandModel_1000P[[#This Row],[Quantity]]/IslandModel_1000P[[#This Row],[Target Quantity]],0)</f>
        <v>0</v>
      </c>
      <c r="AJ63" s="61" t="str">
        <f>IFERROR(INDEX(Production[Resource Produced],MATCH(IslandModel_1000P[[#This Row],[Building]],Production[Building],0)),"")</f>
        <v>Salt</v>
      </c>
      <c r="AK63" s="99">
        <f>IFERROR(IslandModel_1000P[[#This Row],[Quantity]]*INDEX(Production[Production in 1h],MATCH(IslandModel_1000P[[#This Row],[Building]],Production[Building],0))*IslandModel_1000P[[#This Row],[Input Consumption Multiplier]],0)</f>
        <v>0</v>
      </c>
      <c r="AL63" s="115">
        <f>100%</f>
        <v>1</v>
      </c>
      <c r="AM63"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63" s="77" t="str">
        <f>IFERROR(INDEX(Production[Input 1],MATCH(IslandModel_1000P[[#This Row],[Building]],Production[Building],0)),"")</f>
        <v>Land tile</v>
      </c>
      <c r="AO63" s="78"/>
      <c r="AP63"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63"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1943.3333333333333</v>
      </c>
      <c r="AR63"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63" s="35" t="str">
        <f>IFERROR(INDEX(Production[Input 2],MATCH(IslandModel_1000P[[#This Row],[Building]],Production[Building],0)),"")</f>
        <v>Coal</v>
      </c>
      <c r="AT63" s="78"/>
      <c r="AU63"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63"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63"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63" s="35" t="str">
        <f>IFERROR(INDEX(Production[Input 3],MATCH(IslandModel_1000P[[#This Row],[Building]],Production[Building],0)),"")</f>
        <v>Rock Salt</v>
      </c>
      <c r="AY63" s="78"/>
      <c r="AZ63"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63"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63"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63" s="35">
        <f>IFERROR(INDEX(Production[Input 4],MATCH(IslandModel_1000P[[#This Row],[Building]],Production[Building],0)),"")</f>
        <v>0</v>
      </c>
      <c r="BD63" s="78"/>
      <c r="BE63"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63"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63"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63" s="35">
        <f>IFERROR(INDEX(Production[Input 5],MATCH(IslandModel_1000P[[#This Row],[Building]],Production[Building],0)),"")</f>
        <v>0</v>
      </c>
      <c r="BI63" s="78"/>
      <c r="BJ63"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63"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63"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63" s="35">
        <f>IFERROR(INDEX(Production[Input 6],MATCH(IslandModel_1000P[[#This Row],[Building]],Production[Building],0)),"")</f>
        <v>0</v>
      </c>
      <c r="BN63" s="78"/>
      <c r="BO63"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63"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63"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63" s="35">
        <f>IFERROR(INDEX(Production[Input 7],MATCH(IslandModel_1000P[[#This Row],[Building]],Production[Building],0)),"")</f>
        <v>0</v>
      </c>
      <c r="BS63" s="78"/>
      <c r="BT63"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63"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63"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63" s="35">
        <f>IFERROR(INDEX(Production[Input 8],MATCH(IslandModel_1000P[[#This Row],[Building]],Production[Building],0)),"")</f>
        <v>0</v>
      </c>
      <c r="BX63" s="78"/>
      <c r="BY63"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63"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63"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63" s="35">
        <f>IFERROR(INDEX(Production[Input 9],MATCH(IslandModel_1000P[[#This Row],[Building]],Production[Building],0)),"")</f>
        <v>0</v>
      </c>
      <c r="CC63" s="78"/>
      <c r="CD63"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63"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63"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63" s="35">
        <f>IFERROR(INDEX(Production[Input 10],MATCH(IslandModel_1000P[[#This Row],[Building]],Production[Building],0)),"")</f>
        <v>0</v>
      </c>
      <c r="CH63" s="78"/>
      <c r="CI63"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63"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63"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63"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63" s="82" t="str">
        <f>IslandModel_1000P[[#This Row],[Resource Produced]]</f>
        <v>Salt</v>
      </c>
      <c r="CN63" s="42">
        <f>IslandModel_1000P[[#This Row],[Amount produced/h]]</f>
        <v>0</v>
      </c>
      <c r="CO63" s="42" t="str">
        <f>IslandModel_1000P[[#This Row],[Input 1]]</f>
        <v>Land tile</v>
      </c>
      <c r="CP63" s="42">
        <f>-IslandModel_1000P[[#This Row],[Input 1 Consumed]]</f>
        <v>0</v>
      </c>
      <c r="CQ63" s="42" t="str">
        <f>IslandModel_1000P[[#This Row],[Input 2]]</f>
        <v>Coal</v>
      </c>
      <c r="CR63" s="42">
        <f>-IslandModel_1000P[[#This Row],[Input 2 Consumed]]</f>
        <v>0</v>
      </c>
      <c r="CS63" s="42" t="str">
        <f>IslandModel_1000P[[#This Row],[Input 3]]</f>
        <v>Rock Salt</v>
      </c>
      <c r="CT63" s="42">
        <f>-IslandModel_1000P[[#This Row],[Input 3 Consumed]]</f>
        <v>0</v>
      </c>
      <c r="CU63" s="42">
        <f>IslandModel_1000P[[#This Row],[Input 4]]</f>
        <v>0</v>
      </c>
      <c r="CV63" s="42">
        <f>-IslandModel_1000P[[#This Row],[Input 4 Consumed]]</f>
        <v>0</v>
      </c>
      <c r="CW63" s="42">
        <f>IslandModel_1000P[[#This Row],[Input 5]]</f>
        <v>0</v>
      </c>
      <c r="CX63" s="42">
        <f>-IslandModel_1000P[[#This Row],[Input 5 Consumed]]</f>
        <v>0</v>
      </c>
      <c r="CY63" s="42">
        <f>IslandModel_1000P[[#This Row],[Input 6]]</f>
        <v>0</v>
      </c>
      <c r="CZ63" s="42">
        <f>-IslandModel_1000P[[#This Row],[Input 6 Consumed]]</f>
        <v>0</v>
      </c>
      <c r="DA63" s="42">
        <f>IslandModel_1000P[[#This Row],[Input 7]]</f>
        <v>0</v>
      </c>
      <c r="DB63" s="42">
        <f>-IslandModel_1000P[[#This Row],[Input 7 Consumed]]</f>
        <v>0</v>
      </c>
      <c r="DC63" s="42">
        <f>IslandModel_1000P[[#This Row],[Input 8]]</f>
        <v>0</v>
      </c>
      <c r="DD63" s="42">
        <f>-IslandModel_1000P[[#This Row],[Input 8 Consumed]]</f>
        <v>0</v>
      </c>
      <c r="DE63" s="42">
        <f>IslandModel_1000P[[#This Row],[Input 9]]</f>
        <v>0</v>
      </c>
      <c r="DF63" s="42">
        <f>-IslandModel_1000P[[#This Row],[Input 9 Consumed]]</f>
        <v>0</v>
      </c>
      <c r="DG63" s="42">
        <f>IslandModel_1000P[[#This Row],[Input 10]]</f>
        <v>0</v>
      </c>
      <c r="DH63" s="42">
        <f>-IslandModel_1000P[[#This Row],[Input 10 Consumed]]</f>
        <v>0</v>
      </c>
      <c r="DJ63" t="s">
        <v>372</v>
      </c>
      <c r="DK63" s="39">
        <f>SUM(SUMIFS(IslandModel_1000P[Resource 1 Qty],IslandModel_1000P[Resource 1],ResourceAvailable_1000P[[#This Row],[Resource]]))</f>
        <v>245.625</v>
      </c>
      <c r="DL63"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63" s="39">
        <f>ResourceAvailable_1000P[[#This Row],[Amount Produced]]-ResourceAvailable_1000P[[#This Row],[Amount Consumed]]</f>
        <v>245.625</v>
      </c>
      <c r="DN63" s="20">
        <f>MAX(0,ResourceAvailable_1000P[[#This Row],[Amount Available for Resident Consumption]]-SUMIFS(ConsumptionModel_1000P[Resource Demand],ConsumptionModel_1000P[Resource],ResourceAvailable_1000P[[#This Row],[Resource]]))</f>
        <v>0.82499999999998863</v>
      </c>
    </row>
    <row r="64" spans="2:118" ht="21" x14ac:dyDescent="0.65">
      <c r="B64" s="178">
        <f>ROW()</f>
        <v>64</v>
      </c>
      <c r="C64" s="70">
        <f>INDEX(ConsumptionModelInputs_1000P[Quantity],MATCH(ConsumptionModel_1000P[[#This Row],[Building]],ConsumptionModelInputs_1000P[Building],0))</f>
        <v>34</v>
      </c>
      <c r="D64" s="179" t="s">
        <v>59</v>
      </c>
      <c r="E64" s="179" t="s">
        <v>374</v>
      </c>
      <c r="F64" s="64" t="str">
        <f>IF(OR(ISBLANK(ConsumptionModel_1000P[[#This Row],[Building]]),ISBLANK(ConsumptionModel_1000P[[#This Row],[Resource]]))," - ",INDEX(Consumption[Type],MATCH(ConsumptionModel_1000P[[#This Row],[LookupValue]],Consumption[LookupValue],0)))</f>
        <v>Luxury</v>
      </c>
      <c r="G64" s="61" t="str">
        <f>IF(OR(ISBLANK(ConsumptionModel_1000P[[#This Row],[Building]]),ISBLANK(ConsumptionModel_1000P[[#This Row],[Resource]]))," - ",ConsumptionModel_1000P[[#This Row],[Building]]&amp;" - "&amp;ConsumptionModel_1000P[[#This Row],[Resource]])</f>
        <v>Paragon's Residence - Goblet</v>
      </c>
      <c r="H64" s="62">
        <f>ConsumptionModel_1000P[[#This Row],[Quantity]]*INDEX(Consumption[Consumption/person/h],MATCH(ConsumptionModel_1000P[[#This Row],[LookupValue]],Consumption[LookupValue],0))*IFERROR(INDEX(ResidentBuildings[Residents],MATCH(ConsumptionModel_1000P[[#This Row],[Building]],ResidentBuildings[Building],0)),0)</f>
        <v>122.4</v>
      </c>
      <c r="I64"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135</v>
      </c>
      <c r="J64" s="65">
        <f>IF(ConsumptionModel_1000P[[#This Row],[Quantity]]=0,"",IF(AND(ConsumptionModel_1000P[[#This Row],[Resource Demand]]=0,ConsumptionModel_1000P[[#This Row],[Resource Available]]&gt;0),1,MIN(1,IFERROR(ConsumptionModel_1000P[[#This Row],[Resource Available]]/ConsumptionModel_1000P[[#This Row],[Resource Demand]],0))))</f>
        <v>1</v>
      </c>
      <c r="K64"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3.6719999999999997</v>
      </c>
      <c r="O64" s="197"/>
      <c r="P64" s="71">
        <f>SUMIFS(ResourceAvailable_1000P[Amount Produced],ResourceAvailable_1000P[Resource],ResourceMonitor_1000P[[#This Row],[Resource]])</f>
        <v>0</v>
      </c>
      <c r="Q64" s="71">
        <f>SUMIFS(ResourceAvailable_1000P[Amount Consumed],ResourceAvailable_1000P[Resource],ResourceMonitor_1000P[[#This Row],[Resource]])</f>
        <v>0</v>
      </c>
      <c r="R64" s="71">
        <f>SUMIFS(ResourceAvailable_1000P[Amount Available for Resident Consumption],ResourceAvailable_1000P[Resource],ResourceMonitor_1000P[[#This Row],[Resource]])</f>
        <v>0</v>
      </c>
      <c r="S64" s="39">
        <f>MAX(0,ResourceMonitor_1000P[[#This Row],[Amount Available for Resident Consumption]]-SUMIFS(ConsumptionModel_1000P[Resource Demand],ConsumptionModel_1000P[Resource],ResourceMonitor_1000P[[#This Row],[Resource]]))</f>
        <v>0</v>
      </c>
      <c r="T64" s="39">
        <f>MIN(0,ResourceMonitor_1000P[[#This Row],[Amount Available for Resident Consumption]]-SUMIFS(ConsumptionModel_1000P[Resource Demand],ConsumptionModel_1000P[Resource],ResourceMonitor_1000P[[#This Row],[Resource]]))</f>
        <v>0</v>
      </c>
      <c r="U64" s="122">
        <f>IFERROR(INDEX(#REF!,MATCH(ResourceMonitor_1000P[[#This Row],[Resource]],#REF!,0)),0)</f>
        <v>0</v>
      </c>
      <c r="V64" s="194">
        <f>IFERROR(ResourceMonitor_1000P[[#This Row],[Amount Produced]]/ResourceMonitor_1000P[[#This Row],[Production Target]],0)</f>
        <v>0</v>
      </c>
      <c r="W64" s="133"/>
      <c r="X64" s="47">
        <f>IF(ResourceMonitor_1000P[[#This Row],[Ignore shipping needs?]]="Yes",0,ROUNDUP(ResourceMonitor_1000P[[#This Row],[Production Target]]/INDEX(ShipRequirementCalculator[Cargo capacity/h (return, 50% empty)],MATCH($X$15,ShipRequirementCalculator[Ship],0)),0))</f>
        <v>0</v>
      </c>
      <c r="Y64" s="47">
        <f>IF(ResourceMonitor_1000P[[#This Row],[Ignore shipping needs?]]="Yes",0,ROUNDUP(ResourceMonitor_1000P[[#This Row],[Production Target]]/INDEX(ShipRequirementCalculator[Cargo capacity/h (return, 50% empty)],MATCH($Y$15,ShipRequirementCalculator[Ship],0)),0))</f>
        <v>0</v>
      </c>
      <c r="Z64" s="47">
        <f>IF(ResourceMonitor_1000P[[#This Row],[Ignore shipping needs?]]="Yes",0,ROUNDUP(ResourceMonitor_1000P[[#This Row],[Production Target]]/INDEX(ShipRequirementCalculator[Cargo capacity/h (return, 50% empty)],MATCH($Z$15,ShipRequirementCalculator[Ship],0)),0))</f>
        <v>0</v>
      </c>
      <c r="AA64" s="124"/>
      <c r="AC64" s="103" t="s">
        <v>167</v>
      </c>
      <c r="AD64" s="83">
        <f>ROW()</f>
        <v>64</v>
      </c>
      <c r="AE64" s="74">
        <v>22</v>
      </c>
      <c r="AF64" s="50" t="s">
        <v>364</v>
      </c>
      <c r="AG64" s="50"/>
      <c r="AH64" s="74">
        <v>22</v>
      </c>
      <c r="AI64" s="156">
        <f>IFERROR(IslandModel_1000P[[#This Row],[Quantity]]/IslandModel_1000P[[#This Row],[Target Quantity]],0)</f>
        <v>1</v>
      </c>
      <c r="AJ64" s="61" t="str">
        <f>IFERROR(INDEX(Production[Resource Produced],MATCH(IslandModel_1000P[[#This Row],[Building]],Production[Building],0)),"")</f>
        <v>Salt</v>
      </c>
      <c r="AK64" s="99">
        <f>IFERROR(IslandModel_1000P[[#This Row],[Quantity]]*INDEX(Production[Production in 1h],MATCH(IslandModel_1000P[[#This Row],[Building]],Production[Building],0))*IslandModel_1000P[[#This Row],[Input Consumption Multiplier]],0)</f>
        <v>165</v>
      </c>
      <c r="AL64" s="115">
        <f>100%</f>
        <v>1</v>
      </c>
      <c r="AM64"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64" s="77" t="str">
        <f>IFERROR(INDEX(Production[Input 1],MATCH(IslandModel_1000P[[#This Row],[Building]],Production[Building],0)),"")</f>
        <v>Land tile</v>
      </c>
      <c r="AO64" s="78"/>
      <c r="AP64"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22</v>
      </c>
      <c r="AQ64"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1943.3333333333333</v>
      </c>
      <c r="AR64"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22</v>
      </c>
      <c r="AS64" s="35" t="str">
        <f>IFERROR(INDEX(Production[Input 2],MATCH(IslandModel_1000P[[#This Row],[Building]],Production[Building],0)),"")</f>
        <v>Water tile</v>
      </c>
      <c r="AT64" s="78"/>
      <c r="AU64"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44</v>
      </c>
      <c r="AV64"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258</v>
      </c>
      <c r="AW64"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44</v>
      </c>
      <c r="AX64" s="35">
        <f>IFERROR(INDEX(Production[Input 3],MATCH(IslandModel_1000P[[#This Row],[Building]],Production[Building],0)),"")</f>
        <v>0</v>
      </c>
      <c r="AY64" s="78"/>
      <c r="AZ64"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64"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64"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64" s="35">
        <f>IFERROR(INDEX(Production[Input 4],MATCH(IslandModel_1000P[[#This Row],[Building]],Production[Building],0)),"")</f>
        <v>0</v>
      </c>
      <c r="BD64" s="78"/>
      <c r="BE64"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64"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64"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64" s="35">
        <f>IFERROR(INDEX(Production[Input 5],MATCH(IslandModel_1000P[[#This Row],[Building]],Production[Building],0)),"")</f>
        <v>0</v>
      </c>
      <c r="BI64" s="78"/>
      <c r="BJ64"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64"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64"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64" s="35">
        <f>IFERROR(INDEX(Production[Input 6],MATCH(IslandModel_1000P[[#This Row],[Building]],Production[Building],0)),"")</f>
        <v>0</v>
      </c>
      <c r="BN64" s="78"/>
      <c r="BO64"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64"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64"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64" s="35">
        <f>IFERROR(INDEX(Production[Input 7],MATCH(IslandModel_1000P[[#This Row],[Building]],Production[Building],0)),"")</f>
        <v>0</v>
      </c>
      <c r="BS64" s="78"/>
      <c r="BT64"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64"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64"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64" s="35">
        <f>IFERROR(INDEX(Production[Input 8],MATCH(IslandModel_1000P[[#This Row],[Building]],Production[Building],0)),"")</f>
        <v>0</v>
      </c>
      <c r="BX64" s="78"/>
      <c r="BY64"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64"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64"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64" s="35">
        <f>IFERROR(INDEX(Production[Input 9],MATCH(IslandModel_1000P[[#This Row],[Building]],Production[Building],0)),"")</f>
        <v>0</v>
      </c>
      <c r="CC64" s="78"/>
      <c r="CD64"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64"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64"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64" s="35">
        <f>IFERROR(INDEX(Production[Input 10],MATCH(IslandModel_1000P[[#This Row],[Building]],Production[Building],0)),"")</f>
        <v>0</v>
      </c>
      <c r="CH64" s="78"/>
      <c r="CI64"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64"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64"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64"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64" s="82" t="str">
        <f>IslandModel_1000P[[#This Row],[Resource Produced]]</f>
        <v>Salt</v>
      </c>
      <c r="CN64" s="42">
        <f>IslandModel_1000P[[#This Row],[Amount produced/h]]</f>
        <v>165</v>
      </c>
      <c r="CO64" s="42" t="str">
        <f>IslandModel_1000P[[#This Row],[Input 1]]</f>
        <v>Land tile</v>
      </c>
      <c r="CP64" s="42">
        <f>-IslandModel_1000P[[#This Row],[Input 1 Consumed]]</f>
        <v>-22</v>
      </c>
      <c r="CQ64" s="42" t="str">
        <f>IslandModel_1000P[[#This Row],[Input 2]]</f>
        <v>Water tile</v>
      </c>
      <c r="CR64" s="42">
        <f>-IslandModel_1000P[[#This Row],[Input 2 Consumed]]</f>
        <v>-44</v>
      </c>
      <c r="CS64" s="42">
        <f>IslandModel_1000P[[#This Row],[Input 3]]</f>
        <v>0</v>
      </c>
      <c r="CT64" s="42">
        <f>-IslandModel_1000P[[#This Row],[Input 3 Consumed]]</f>
        <v>0</v>
      </c>
      <c r="CU64" s="42">
        <f>IslandModel_1000P[[#This Row],[Input 4]]</f>
        <v>0</v>
      </c>
      <c r="CV64" s="42">
        <f>-IslandModel_1000P[[#This Row],[Input 4 Consumed]]</f>
        <v>0</v>
      </c>
      <c r="CW64" s="42">
        <f>IslandModel_1000P[[#This Row],[Input 5]]</f>
        <v>0</v>
      </c>
      <c r="CX64" s="42">
        <f>-IslandModel_1000P[[#This Row],[Input 5 Consumed]]</f>
        <v>0</v>
      </c>
      <c r="CY64" s="42">
        <f>IslandModel_1000P[[#This Row],[Input 6]]</f>
        <v>0</v>
      </c>
      <c r="CZ64" s="42">
        <f>-IslandModel_1000P[[#This Row],[Input 6 Consumed]]</f>
        <v>0</v>
      </c>
      <c r="DA64" s="42">
        <f>IslandModel_1000P[[#This Row],[Input 7]]</f>
        <v>0</v>
      </c>
      <c r="DB64" s="42">
        <f>-IslandModel_1000P[[#This Row],[Input 7 Consumed]]</f>
        <v>0</v>
      </c>
      <c r="DC64" s="42">
        <f>IslandModel_1000P[[#This Row],[Input 8]]</f>
        <v>0</v>
      </c>
      <c r="DD64" s="42">
        <f>-IslandModel_1000P[[#This Row],[Input 8 Consumed]]</f>
        <v>0</v>
      </c>
      <c r="DE64" s="42">
        <f>IslandModel_1000P[[#This Row],[Input 9]]</f>
        <v>0</v>
      </c>
      <c r="DF64" s="42">
        <f>-IslandModel_1000P[[#This Row],[Input 9 Consumed]]</f>
        <v>0</v>
      </c>
      <c r="DG64" s="42">
        <f>IslandModel_1000P[[#This Row],[Input 10]]</f>
        <v>0</v>
      </c>
      <c r="DH64" s="42">
        <f>-IslandModel_1000P[[#This Row],[Input 10 Consumed]]</f>
        <v>0</v>
      </c>
      <c r="DJ64" t="s">
        <v>373</v>
      </c>
      <c r="DK64" s="39">
        <f>SUM(SUMIFS(IslandModel_1000P[Resource 1 Qty],IslandModel_1000P[Resource 1],ResourceAvailable_1000P[[#This Row],[Resource]]))</f>
        <v>0</v>
      </c>
      <c r="DL64"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64" s="39">
        <f>ResourceAvailable_1000P[[#This Row],[Amount Produced]]-ResourceAvailable_1000P[[#This Row],[Amount Consumed]]</f>
        <v>0</v>
      </c>
      <c r="DN64" s="20">
        <f>MAX(0,ResourceAvailable_1000P[[#This Row],[Amount Available for Resident Consumption]]-SUMIFS(ConsumptionModel_1000P[Resource Demand],ConsumptionModel_1000P[Resource],ResourceAvailable_1000P[[#This Row],[Resource]]))</f>
        <v>0</v>
      </c>
    </row>
    <row r="65" spans="2:118" ht="21" x14ac:dyDescent="0.65">
      <c r="B65" s="178">
        <f>ROW()</f>
        <v>65</v>
      </c>
      <c r="C65" s="70">
        <f>INDEX(ConsumptionModelInputs_1000P[Quantity],MATCH(ConsumptionModel_1000P[[#This Row],[Building]],ConsumptionModelInputs_1000P[Building],0))</f>
        <v>34</v>
      </c>
      <c r="D65" s="179" t="s">
        <v>59</v>
      </c>
      <c r="E65" s="179" t="s">
        <v>660</v>
      </c>
      <c r="F65" s="64" t="str">
        <f>IF(OR(ISBLANK(ConsumptionModel_1000P[[#This Row],[Building]]),ISBLANK(ConsumptionModel_1000P[[#This Row],[Resource]]))," - ",INDEX(Consumption[Type],MATCH(ConsumptionModel_1000P[[#This Row],[LookupValue]],Consumption[LookupValue],0)))</f>
        <v>Luxury</v>
      </c>
      <c r="G65" s="61" t="str">
        <f>IF(OR(ISBLANK(ConsumptionModel_1000P[[#This Row],[Building]]),ISBLANK(ConsumptionModel_1000P[[#This Row],[Resource]]))," - ",ConsumptionModel_1000P[[#This Row],[Building]]&amp;" - "&amp;ConsumptionModel_1000P[[#This Row],[Resource]])</f>
        <v>Paragon's Residence - Candle Holder</v>
      </c>
      <c r="H65" s="62">
        <f>ConsumptionModel_1000P[[#This Row],[Quantity]]*INDEX(Consumption[Consumption/person/h],MATCH(ConsumptionModel_1000P[[#This Row],[LookupValue]],Consumption[LookupValue],0))*IFERROR(INDEX(ResidentBuildings[Residents],MATCH(ConsumptionModel_1000P[[#This Row],[Building]],ResidentBuildings[Building],0)),0)</f>
        <v>183.60000000000002</v>
      </c>
      <c r="I65"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187.5</v>
      </c>
      <c r="J65" s="65">
        <f>IF(ConsumptionModel_1000P[[#This Row],[Quantity]]=0,"",IF(AND(ConsumptionModel_1000P[[#This Row],[Resource Demand]]=0,ConsumptionModel_1000P[[#This Row],[Resource Available]]&gt;0),1,MIN(1,IFERROR(ConsumptionModel_1000P[[#This Row],[Resource Available]]/ConsumptionModel_1000P[[#This Row],[Resource Demand]],0))))</f>
        <v>1</v>
      </c>
      <c r="K65"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3.6719999999999997</v>
      </c>
      <c r="O65" s="197"/>
      <c r="P65" s="71">
        <f>SUMIFS(ResourceAvailable_1000P[Amount Produced],ResourceAvailable_1000P[Resource],ResourceMonitor_1000P[[#This Row],[Resource]])</f>
        <v>0</v>
      </c>
      <c r="Q65" s="71">
        <f>SUMIFS(ResourceAvailable_1000P[Amount Consumed],ResourceAvailable_1000P[Resource],ResourceMonitor_1000P[[#This Row],[Resource]])</f>
        <v>0</v>
      </c>
      <c r="R65" s="71">
        <f>SUMIFS(ResourceAvailable_1000P[Amount Available for Resident Consumption],ResourceAvailable_1000P[Resource],ResourceMonitor_1000P[[#This Row],[Resource]])</f>
        <v>0</v>
      </c>
      <c r="S65" s="39">
        <f>MAX(0,ResourceMonitor_1000P[[#This Row],[Amount Available for Resident Consumption]]-SUMIFS(ConsumptionModel_1000P[Resource Demand],ConsumptionModel_1000P[Resource],ResourceMonitor_1000P[[#This Row],[Resource]]))</f>
        <v>0</v>
      </c>
      <c r="T65" s="39">
        <f>MIN(0,ResourceMonitor_1000P[[#This Row],[Amount Available for Resident Consumption]]-SUMIFS(ConsumptionModel_1000P[Resource Demand],ConsumptionModel_1000P[Resource],ResourceMonitor_1000P[[#This Row],[Resource]]))</f>
        <v>0</v>
      </c>
      <c r="U65" s="122">
        <f>IFERROR(INDEX(#REF!,MATCH(ResourceMonitor_1000P[[#This Row],[Resource]],#REF!,0)),0)</f>
        <v>0</v>
      </c>
      <c r="V65" s="194">
        <f>IFERROR(ResourceMonitor_1000P[[#This Row],[Amount Produced]]/ResourceMonitor_1000P[[#This Row],[Production Target]],0)</f>
        <v>0</v>
      </c>
      <c r="W65" s="133"/>
      <c r="X65" s="47">
        <f>IF(ResourceMonitor_1000P[[#This Row],[Ignore shipping needs?]]="Yes",0,ROUNDUP(ResourceMonitor_1000P[[#This Row],[Production Target]]/INDEX(ShipRequirementCalculator[Cargo capacity/h (return, 50% empty)],MATCH($X$15,ShipRequirementCalculator[Ship],0)),0))</f>
        <v>0</v>
      </c>
      <c r="Y65" s="47">
        <f>IF(ResourceMonitor_1000P[[#This Row],[Ignore shipping needs?]]="Yes",0,ROUNDUP(ResourceMonitor_1000P[[#This Row],[Production Target]]/INDEX(ShipRequirementCalculator[Cargo capacity/h (return, 50% empty)],MATCH($Y$15,ShipRequirementCalculator[Ship],0)),0))</f>
        <v>0</v>
      </c>
      <c r="Z65" s="47">
        <f>IF(ResourceMonitor_1000P[[#This Row],[Ignore shipping needs?]]="Yes",0,ROUNDUP(ResourceMonitor_1000P[[#This Row],[Production Target]]/INDEX(ShipRequirementCalculator[Cargo capacity/h (return, 50% empty)],MATCH($Z$15,ShipRequirementCalculator[Ship],0)),0))</f>
        <v>0</v>
      </c>
      <c r="AA65" s="124"/>
      <c r="AC65" s="103" t="s">
        <v>167</v>
      </c>
      <c r="AD65" s="83">
        <f>ROW()</f>
        <v>65</v>
      </c>
      <c r="AE65" s="198">
        <f>AE66*8</f>
        <v>176</v>
      </c>
      <c r="AF65" s="50" t="s">
        <v>515</v>
      </c>
      <c r="AG65" s="50"/>
      <c r="AH65" s="198">
        <f>AH66*8</f>
        <v>176</v>
      </c>
      <c r="AI65" s="156">
        <f>IFERROR(IslandModel_1000P[[#This Row],[Quantity]]/IslandModel_1000P[[#This Row],[Target Quantity]],0)</f>
        <v>1</v>
      </c>
      <c r="AJ65" s="61" t="str">
        <f>IFERROR(INDEX(Production[Resource Produced],MATCH(IslandModel_1000P[[#This Row],[Building]],Production[Building],0)),"")</f>
        <v>Cattle Field</v>
      </c>
      <c r="AK65" s="99">
        <f>IFERROR(IslandModel_1000P[[#This Row],[Quantity]]*INDEX(Production[Production in 1h],MATCH(IslandModel_1000P[[#This Row],[Building]],Production[Building],0))*IslandModel_1000P[[#This Row],[Input Consumption Multiplier]],0)</f>
        <v>176</v>
      </c>
      <c r="AL65" s="115">
        <f>100%</f>
        <v>1</v>
      </c>
      <c r="AM65"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65" s="77" t="str">
        <f>IFERROR(INDEX(Production[Input 1],MATCH(IslandModel_1000P[[#This Row],[Building]],Production[Building],0)),"")</f>
        <v>Land tile</v>
      </c>
      <c r="AO65" s="78"/>
      <c r="AP65"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176</v>
      </c>
      <c r="AQ65"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1921.3333333333333</v>
      </c>
      <c r="AR65"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176</v>
      </c>
      <c r="AS65" s="35">
        <f>IFERROR(INDEX(Production[Input 2],MATCH(IslandModel_1000P[[#This Row],[Building]],Production[Building],0)),"")</f>
        <v>0</v>
      </c>
      <c r="AT65" s="78"/>
      <c r="AU65"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65"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65"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65" s="35">
        <f>IFERROR(INDEX(Production[Input 3],MATCH(IslandModel_1000P[[#This Row],[Building]],Production[Building],0)),"")</f>
        <v>0</v>
      </c>
      <c r="AY65" s="78"/>
      <c r="AZ65"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65"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65"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65" s="35">
        <f>IFERROR(INDEX(Production[Input 4],MATCH(IslandModel_1000P[[#This Row],[Building]],Production[Building],0)),"")</f>
        <v>0</v>
      </c>
      <c r="BD65" s="78"/>
      <c r="BE65"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65"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65"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65" s="35">
        <f>IFERROR(INDEX(Production[Input 5],MATCH(IslandModel_1000P[[#This Row],[Building]],Production[Building],0)),"")</f>
        <v>0</v>
      </c>
      <c r="BI65" s="78"/>
      <c r="BJ65"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65"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65"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65" s="35">
        <f>IFERROR(INDEX(Production[Input 6],MATCH(IslandModel_1000P[[#This Row],[Building]],Production[Building],0)),"")</f>
        <v>0</v>
      </c>
      <c r="BN65" s="78"/>
      <c r="BO65"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65"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65"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65" s="35">
        <f>IFERROR(INDEX(Production[Input 7],MATCH(IslandModel_1000P[[#This Row],[Building]],Production[Building],0)),"")</f>
        <v>0</v>
      </c>
      <c r="BS65" s="78"/>
      <c r="BT65"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65"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65"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65" s="35">
        <f>IFERROR(INDEX(Production[Input 8],MATCH(IslandModel_1000P[[#This Row],[Building]],Production[Building],0)),"")</f>
        <v>0</v>
      </c>
      <c r="BX65" s="78"/>
      <c r="BY65"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65"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65"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65" s="35">
        <f>IFERROR(INDEX(Production[Input 9],MATCH(IslandModel_1000P[[#This Row],[Building]],Production[Building],0)),"")</f>
        <v>0</v>
      </c>
      <c r="CC65" s="78"/>
      <c r="CD65"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65"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65"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65" s="35">
        <f>IFERROR(INDEX(Production[Input 10],MATCH(IslandModel_1000P[[#This Row],[Building]],Production[Building],0)),"")</f>
        <v>0</v>
      </c>
      <c r="CH65" s="78"/>
      <c r="CI65"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65"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65"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65"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65" s="82" t="str">
        <f>IslandModel_1000P[[#This Row],[Resource Produced]]</f>
        <v>Cattle Field</v>
      </c>
      <c r="CN65" s="42">
        <f>IslandModel_1000P[[#This Row],[Amount produced/h]]</f>
        <v>176</v>
      </c>
      <c r="CO65" s="42" t="str">
        <f>IslandModel_1000P[[#This Row],[Input 1]]</f>
        <v>Land tile</v>
      </c>
      <c r="CP65" s="42">
        <f>-IslandModel_1000P[[#This Row],[Input 1 Consumed]]</f>
        <v>-176</v>
      </c>
      <c r="CQ65" s="42">
        <f>IslandModel_1000P[[#This Row],[Input 2]]</f>
        <v>0</v>
      </c>
      <c r="CR65" s="42">
        <f>-IslandModel_1000P[[#This Row],[Input 2 Consumed]]</f>
        <v>0</v>
      </c>
      <c r="CS65" s="42">
        <f>IslandModel_1000P[[#This Row],[Input 3]]</f>
        <v>0</v>
      </c>
      <c r="CT65" s="42">
        <f>-IslandModel_1000P[[#This Row],[Input 3 Consumed]]</f>
        <v>0</v>
      </c>
      <c r="CU65" s="42">
        <f>IslandModel_1000P[[#This Row],[Input 4]]</f>
        <v>0</v>
      </c>
      <c r="CV65" s="42">
        <f>-IslandModel_1000P[[#This Row],[Input 4 Consumed]]</f>
        <v>0</v>
      </c>
      <c r="CW65" s="42">
        <f>IslandModel_1000P[[#This Row],[Input 5]]</f>
        <v>0</v>
      </c>
      <c r="CX65" s="42">
        <f>-IslandModel_1000P[[#This Row],[Input 5 Consumed]]</f>
        <v>0</v>
      </c>
      <c r="CY65" s="42">
        <f>IslandModel_1000P[[#This Row],[Input 6]]</f>
        <v>0</v>
      </c>
      <c r="CZ65" s="42">
        <f>-IslandModel_1000P[[#This Row],[Input 6 Consumed]]</f>
        <v>0</v>
      </c>
      <c r="DA65" s="42">
        <f>IslandModel_1000P[[#This Row],[Input 7]]</f>
        <v>0</v>
      </c>
      <c r="DB65" s="42">
        <f>-IslandModel_1000P[[#This Row],[Input 7 Consumed]]</f>
        <v>0</v>
      </c>
      <c r="DC65" s="42">
        <f>IslandModel_1000P[[#This Row],[Input 8]]</f>
        <v>0</v>
      </c>
      <c r="DD65" s="42">
        <f>-IslandModel_1000P[[#This Row],[Input 8 Consumed]]</f>
        <v>0</v>
      </c>
      <c r="DE65" s="42">
        <f>IslandModel_1000P[[#This Row],[Input 9]]</f>
        <v>0</v>
      </c>
      <c r="DF65" s="42">
        <f>-IslandModel_1000P[[#This Row],[Input 9 Consumed]]</f>
        <v>0</v>
      </c>
      <c r="DG65" s="42">
        <f>IslandModel_1000P[[#This Row],[Input 10]]</f>
        <v>0</v>
      </c>
      <c r="DH65" s="42">
        <f>-IslandModel_1000P[[#This Row],[Input 10 Consumed]]</f>
        <v>0</v>
      </c>
      <c r="DJ65" t="s">
        <v>374</v>
      </c>
      <c r="DK65" s="39">
        <f>SUM(SUMIFS(IslandModel_1000P[Resource 1 Qty],IslandModel_1000P[Resource 1],ResourceAvailable_1000P[[#This Row],[Resource]]))</f>
        <v>135</v>
      </c>
      <c r="DL65"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65" s="39">
        <f>ResourceAvailable_1000P[[#This Row],[Amount Produced]]-ResourceAvailable_1000P[[#This Row],[Amount Consumed]]</f>
        <v>135</v>
      </c>
      <c r="DN65" s="20">
        <f>MAX(0,ResourceAvailable_1000P[[#This Row],[Amount Available for Resident Consumption]]-SUMIFS(ConsumptionModel_1000P[Resource Demand],ConsumptionModel_1000P[Resource],ResourceAvailable_1000P[[#This Row],[Resource]]))</f>
        <v>12.599999999999994</v>
      </c>
    </row>
    <row r="66" spans="2:118" ht="21" x14ac:dyDescent="0.65">
      <c r="B66" s="178">
        <f>ROW()</f>
        <v>66</v>
      </c>
      <c r="C66" s="70">
        <f>INDEX(ConsumptionModelInputs_1000P[Quantity],MATCH(ConsumptionModel_1000P[[#This Row],[Building]],ConsumptionModelInputs_1000P[Building],0))</f>
        <v>34</v>
      </c>
      <c r="D66" s="179" t="s">
        <v>59</v>
      </c>
      <c r="E66" s="179" t="s">
        <v>379</v>
      </c>
      <c r="F66" s="64" t="str">
        <f>IF(OR(ISBLANK(ConsumptionModel_1000P[[#This Row],[Building]]),ISBLANK(ConsumptionModel_1000P[[#This Row],[Resource]]))," - ",INDEX(Consumption[Type],MATCH(ConsumptionModel_1000P[[#This Row],[LookupValue]],Consumption[LookupValue],0)))</f>
        <v>Luxury</v>
      </c>
      <c r="G66" s="61" t="str">
        <f>IF(OR(ISBLANK(ConsumptionModel_1000P[[#This Row],[Building]]),ISBLANK(ConsumptionModel_1000P[[#This Row],[Resource]]))," - ",ConsumptionModel_1000P[[#This Row],[Building]]&amp;" - "&amp;ConsumptionModel_1000P[[#This Row],[Resource]])</f>
        <v>Paragon's Residence - Feast</v>
      </c>
      <c r="H66" s="62">
        <f>ConsumptionModel_1000P[[#This Row],[Quantity]]*INDEX(Consumption[Consumption/person/h],MATCH(ConsumptionModel_1000P[[#This Row],[LookupValue]],Consumption[LookupValue],0))*IFERROR(INDEX(ResidentBuildings[Residents],MATCH(ConsumptionModel_1000P[[#This Row],[Building]],ResidentBuildings[Building],0)),0)</f>
        <v>367.20000000000005</v>
      </c>
      <c r="I66"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405</v>
      </c>
      <c r="J66" s="65">
        <f>IF(ConsumptionModel_1000P[[#This Row],[Quantity]]=0,"",IF(AND(ConsumptionModel_1000P[[#This Row],[Resource Demand]]=0,ConsumptionModel_1000P[[#This Row],[Resource Available]]&gt;0),1,MIN(1,IFERROR(ConsumptionModel_1000P[[#This Row],[Resource Available]]/ConsumptionModel_1000P[[#This Row],[Resource Demand]],0))))</f>
        <v>1</v>
      </c>
      <c r="K66"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3.6719999999999997</v>
      </c>
      <c r="O66" s="197"/>
      <c r="P66" s="71">
        <f>SUMIFS(ResourceAvailable_1000P[Amount Produced],ResourceAvailable_1000P[Resource],ResourceMonitor_1000P[[#This Row],[Resource]])</f>
        <v>0</v>
      </c>
      <c r="Q66" s="71">
        <f>SUMIFS(ResourceAvailable_1000P[Amount Consumed],ResourceAvailable_1000P[Resource],ResourceMonitor_1000P[[#This Row],[Resource]])</f>
        <v>0</v>
      </c>
      <c r="R66" s="71">
        <f>SUMIFS(ResourceAvailable_1000P[Amount Available for Resident Consumption],ResourceAvailable_1000P[Resource],ResourceMonitor_1000P[[#This Row],[Resource]])</f>
        <v>0</v>
      </c>
      <c r="S66" s="39">
        <f>MAX(0,ResourceMonitor_1000P[[#This Row],[Amount Available for Resident Consumption]]-SUMIFS(ConsumptionModel_1000P[Resource Demand],ConsumptionModel_1000P[Resource],ResourceMonitor_1000P[[#This Row],[Resource]]))</f>
        <v>0</v>
      </c>
      <c r="T66" s="39">
        <f>MIN(0,ResourceMonitor_1000P[[#This Row],[Amount Available for Resident Consumption]]-SUMIFS(ConsumptionModel_1000P[Resource Demand],ConsumptionModel_1000P[Resource],ResourceMonitor_1000P[[#This Row],[Resource]]))</f>
        <v>0</v>
      </c>
      <c r="U66" s="122">
        <f>IFERROR(INDEX(#REF!,MATCH(ResourceMonitor_1000P[[#This Row],[Resource]],#REF!,0)),0)</f>
        <v>0</v>
      </c>
      <c r="V66" s="194">
        <f>IFERROR(ResourceMonitor_1000P[[#This Row],[Amount Produced]]/ResourceMonitor_1000P[[#This Row],[Production Target]],0)</f>
        <v>0</v>
      </c>
      <c r="W66" s="133"/>
      <c r="X66" s="47">
        <f>IF(ResourceMonitor_1000P[[#This Row],[Ignore shipping needs?]]="Yes",0,ROUNDUP(ResourceMonitor_1000P[[#This Row],[Production Target]]/INDEX(ShipRequirementCalculator[Cargo capacity/h (return, 50% empty)],MATCH($X$15,ShipRequirementCalculator[Ship],0)),0))</f>
        <v>0</v>
      </c>
      <c r="Y66" s="47">
        <f>IF(ResourceMonitor_1000P[[#This Row],[Ignore shipping needs?]]="Yes",0,ROUNDUP(ResourceMonitor_1000P[[#This Row],[Production Target]]/INDEX(ShipRequirementCalculator[Cargo capacity/h (return, 50% empty)],MATCH($Y$15,ShipRequirementCalculator[Ship],0)),0))</f>
        <v>0</v>
      </c>
      <c r="Z66" s="47">
        <f>IF(ResourceMonitor_1000P[[#This Row],[Ignore shipping needs?]]="Yes",0,ROUNDUP(ResourceMonitor_1000P[[#This Row],[Production Target]]/INDEX(ShipRequirementCalculator[Cargo capacity/h (return, 50% empty)],MATCH($Z$15,ShipRequirementCalculator[Ship],0)),0))</f>
        <v>0</v>
      </c>
      <c r="AA66" s="124"/>
      <c r="AC66" s="103" t="s">
        <v>167</v>
      </c>
      <c r="AD66" s="83">
        <f>ROW()</f>
        <v>66</v>
      </c>
      <c r="AE66" s="74">
        <v>22</v>
      </c>
      <c r="AF66" s="50" t="s">
        <v>415</v>
      </c>
      <c r="AG66" s="50"/>
      <c r="AH66" s="74">
        <v>22</v>
      </c>
      <c r="AI66" s="156">
        <f>IFERROR(IslandModel_1000P[[#This Row],[Quantity]]/IslandModel_1000P[[#This Row],[Target Quantity]],0)</f>
        <v>1</v>
      </c>
      <c r="AJ66" s="61" t="str">
        <f>IFERROR(INDEX(Production[Resource Produced],MATCH(IslandModel_1000P[[#This Row],[Building]],Production[Building],0)),"")</f>
        <v>Cattle</v>
      </c>
      <c r="AK66" s="99">
        <f>IFERROR(IslandModel_1000P[[#This Row],[Quantity]]*INDEX(Production[Production in 1h],MATCH(IslandModel_1000P[[#This Row],[Building]],Production[Building],0))*IslandModel_1000P[[#This Row],[Input Consumption Multiplier]],0)</f>
        <v>330</v>
      </c>
      <c r="AL66" s="115">
        <f>100%</f>
        <v>1</v>
      </c>
      <c r="AM66"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66" s="77" t="str">
        <f>IFERROR(INDEX(Production[Input 1],MATCH(IslandModel_1000P[[#This Row],[Building]],Production[Building],0)),"")</f>
        <v>Land tile</v>
      </c>
      <c r="AO66" s="78"/>
      <c r="AP66"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22</v>
      </c>
      <c r="AQ66"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1745.3333333333333</v>
      </c>
      <c r="AR66"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22</v>
      </c>
      <c r="AS66" s="35" t="str">
        <f>IFERROR(INDEX(Production[Input 2],MATCH(IslandModel_1000P[[#This Row],[Building]],Production[Building],0)),"")</f>
        <v>Cattle Field</v>
      </c>
      <c r="AT66" s="78"/>
      <c r="AU66"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176</v>
      </c>
      <c r="AV66"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176</v>
      </c>
      <c r="AW66"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176</v>
      </c>
      <c r="AX66" s="35">
        <f>IFERROR(INDEX(Production[Input 3],MATCH(IslandModel_1000P[[#This Row],[Building]],Production[Building],0)),"")</f>
        <v>0</v>
      </c>
      <c r="AY66" s="78"/>
      <c r="AZ66"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66"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66"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66" s="35">
        <f>IFERROR(INDEX(Production[Input 4],MATCH(IslandModel_1000P[[#This Row],[Building]],Production[Building],0)),"")</f>
        <v>0</v>
      </c>
      <c r="BD66" s="78"/>
      <c r="BE66"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66"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66"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66" s="35">
        <f>IFERROR(INDEX(Production[Input 5],MATCH(IslandModel_1000P[[#This Row],[Building]],Production[Building],0)),"")</f>
        <v>0</v>
      </c>
      <c r="BI66" s="78"/>
      <c r="BJ66"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66"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66"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66" s="35">
        <f>IFERROR(INDEX(Production[Input 6],MATCH(IslandModel_1000P[[#This Row],[Building]],Production[Building],0)),"")</f>
        <v>0</v>
      </c>
      <c r="BN66" s="78"/>
      <c r="BO66"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66"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66"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66" s="35">
        <f>IFERROR(INDEX(Production[Input 7],MATCH(IslandModel_1000P[[#This Row],[Building]],Production[Building],0)),"")</f>
        <v>0</v>
      </c>
      <c r="BS66" s="78"/>
      <c r="BT66"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66"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66"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66" s="35">
        <f>IFERROR(INDEX(Production[Input 8],MATCH(IslandModel_1000P[[#This Row],[Building]],Production[Building],0)),"")</f>
        <v>0</v>
      </c>
      <c r="BX66" s="78"/>
      <c r="BY66"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66"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66"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66" s="35">
        <f>IFERROR(INDEX(Production[Input 9],MATCH(IslandModel_1000P[[#This Row],[Building]],Production[Building],0)),"")</f>
        <v>0</v>
      </c>
      <c r="CC66" s="78"/>
      <c r="CD66"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66"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66"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66" s="35">
        <f>IFERROR(INDEX(Production[Input 10],MATCH(IslandModel_1000P[[#This Row],[Building]],Production[Building],0)),"")</f>
        <v>0</v>
      </c>
      <c r="CH66" s="78"/>
      <c r="CI66"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66"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66"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66"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66" s="82" t="str">
        <f>IslandModel_1000P[[#This Row],[Resource Produced]]</f>
        <v>Cattle</v>
      </c>
      <c r="CN66" s="42">
        <f>IslandModel_1000P[[#This Row],[Amount produced/h]]</f>
        <v>330</v>
      </c>
      <c r="CO66" s="42" t="str">
        <f>IslandModel_1000P[[#This Row],[Input 1]]</f>
        <v>Land tile</v>
      </c>
      <c r="CP66" s="42">
        <f>-IslandModel_1000P[[#This Row],[Input 1 Consumed]]</f>
        <v>-22</v>
      </c>
      <c r="CQ66" s="42" t="str">
        <f>IslandModel_1000P[[#This Row],[Input 2]]</f>
        <v>Cattle Field</v>
      </c>
      <c r="CR66" s="42">
        <f>-IslandModel_1000P[[#This Row],[Input 2 Consumed]]</f>
        <v>-176</v>
      </c>
      <c r="CS66" s="42">
        <f>IslandModel_1000P[[#This Row],[Input 3]]</f>
        <v>0</v>
      </c>
      <c r="CT66" s="42">
        <f>-IslandModel_1000P[[#This Row],[Input 3 Consumed]]</f>
        <v>0</v>
      </c>
      <c r="CU66" s="42">
        <f>IslandModel_1000P[[#This Row],[Input 4]]</f>
        <v>0</v>
      </c>
      <c r="CV66" s="42">
        <f>-IslandModel_1000P[[#This Row],[Input 4 Consumed]]</f>
        <v>0</v>
      </c>
      <c r="CW66" s="42">
        <f>IslandModel_1000P[[#This Row],[Input 5]]</f>
        <v>0</v>
      </c>
      <c r="CX66" s="42">
        <f>-IslandModel_1000P[[#This Row],[Input 5 Consumed]]</f>
        <v>0</v>
      </c>
      <c r="CY66" s="42">
        <f>IslandModel_1000P[[#This Row],[Input 6]]</f>
        <v>0</v>
      </c>
      <c r="CZ66" s="42">
        <f>-IslandModel_1000P[[#This Row],[Input 6 Consumed]]</f>
        <v>0</v>
      </c>
      <c r="DA66" s="42">
        <f>IslandModel_1000P[[#This Row],[Input 7]]</f>
        <v>0</v>
      </c>
      <c r="DB66" s="42">
        <f>-IslandModel_1000P[[#This Row],[Input 7 Consumed]]</f>
        <v>0</v>
      </c>
      <c r="DC66" s="42">
        <f>IslandModel_1000P[[#This Row],[Input 8]]</f>
        <v>0</v>
      </c>
      <c r="DD66" s="42">
        <f>-IslandModel_1000P[[#This Row],[Input 8 Consumed]]</f>
        <v>0</v>
      </c>
      <c r="DE66" s="42">
        <f>IslandModel_1000P[[#This Row],[Input 9]]</f>
        <v>0</v>
      </c>
      <c r="DF66" s="42">
        <f>-IslandModel_1000P[[#This Row],[Input 9 Consumed]]</f>
        <v>0</v>
      </c>
      <c r="DG66" s="42">
        <f>IslandModel_1000P[[#This Row],[Input 10]]</f>
        <v>0</v>
      </c>
      <c r="DH66" s="42">
        <f>-IslandModel_1000P[[#This Row],[Input 10 Consumed]]</f>
        <v>0</v>
      </c>
      <c r="DJ66" s="55" t="s">
        <v>61</v>
      </c>
      <c r="DK66" s="39">
        <f>SUM(SUMIFS(IslandModel_1000P[Resource 1 Qty],IslandModel_1000P[Resource 1],ResourceAvailable_1000P[[#This Row],[Resource]]))</f>
        <v>0</v>
      </c>
      <c r="DL66"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66" s="39">
        <f>ResourceAvailable_1000P[[#This Row],[Amount Produced]]-ResourceAvailable_1000P[[#This Row],[Amount Consumed]]</f>
        <v>0</v>
      </c>
      <c r="DN66" s="20">
        <f>MAX(0,ResourceAvailable_1000P[[#This Row],[Amount Available for Resident Consumption]]-SUMIFS(ConsumptionModel_1000P[Resource Demand],ConsumptionModel_1000P[Resource],ResourceAvailable_1000P[[#This Row],[Resource]]))</f>
        <v>0</v>
      </c>
    </row>
    <row r="67" spans="2:118" ht="21" x14ac:dyDescent="0.65">
      <c r="B67" s="178">
        <f>ROW()</f>
        <v>67</v>
      </c>
      <c r="C67" s="70">
        <f>INDEX(ConsumptionModelInputs_1000P[Quantity],MATCH(ConsumptionModel_1000P[[#This Row],[Building]],ConsumptionModelInputs_1000P[Building],0))</f>
        <v>34</v>
      </c>
      <c r="D67" s="179" t="s">
        <v>59</v>
      </c>
      <c r="E67" s="179" t="s">
        <v>382</v>
      </c>
      <c r="F67" s="64" t="str">
        <f>IF(OR(ISBLANK(ConsumptionModel_1000P[[#This Row],[Building]]),ISBLANK(ConsumptionModel_1000P[[#This Row],[Resource]]))," - ",INDEX(Consumption[Type],MATCH(ConsumptionModel_1000P[[#This Row],[LookupValue]],Consumption[LookupValue],0)))</f>
        <v>Luxury</v>
      </c>
      <c r="G67" s="61" t="str">
        <f>IF(OR(ISBLANK(ConsumptionModel_1000P[[#This Row],[Building]]),ISBLANK(ConsumptionModel_1000P[[#This Row],[Resource]]))," - ",ConsumptionModel_1000P[[#This Row],[Building]]&amp;" - "&amp;ConsumptionModel_1000P[[#This Row],[Resource]])</f>
        <v>Paragon's Residence - Wine</v>
      </c>
      <c r="H67" s="62">
        <f>ConsumptionModel_1000P[[#This Row],[Quantity]]*INDEX(Consumption[Consumption/person/h],MATCH(ConsumptionModel_1000P[[#This Row],[LookupValue]],Consumption[LookupValue],0))*IFERROR(INDEX(ResidentBuildings[Residents],MATCH(ConsumptionModel_1000P[[#This Row],[Building]],ResidentBuildings[Building],0)),0)</f>
        <v>272</v>
      </c>
      <c r="I67"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303.75</v>
      </c>
      <c r="J67" s="65">
        <f>IF(ConsumptionModel_1000P[[#This Row],[Quantity]]=0,"",IF(AND(ConsumptionModel_1000P[[#This Row],[Resource Demand]]=0,ConsumptionModel_1000P[[#This Row],[Resource Available]]&gt;0),1,MIN(1,IFERROR(ConsumptionModel_1000P[[#This Row],[Resource Available]]/ConsumptionModel_1000P[[#This Row],[Resource Demand]],0))))</f>
        <v>1</v>
      </c>
      <c r="K67"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3.6719999999999997</v>
      </c>
      <c r="O67" s="197"/>
      <c r="P67" s="71">
        <f>SUMIFS(ResourceAvailable_1000P[Amount Produced],ResourceAvailable_1000P[Resource],ResourceMonitor_1000P[[#This Row],[Resource]])</f>
        <v>0</v>
      </c>
      <c r="Q67" s="71">
        <f>SUMIFS(ResourceAvailable_1000P[Amount Consumed],ResourceAvailable_1000P[Resource],ResourceMonitor_1000P[[#This Row],[Resource]])</f>
        <v>0</v>
      </c>
      <c r="R67" s="71">
        <f>SUMIFS(ResourceAvailable_1000P[Amount Available for Resident Consumption],ResourceAvailable_1000P[Resource],ResourceMonitor_1000P[[#This Row],[Resource]])</f>
        <v>0</v>
      </c>
      <c r="S67" s="39">
        <f>MAX(0,ResourceMonitor_1000P[[#This Row],[Amount Available for Resident Consumption]]-SUMIFS(ConsumptionModel_1000P[Resource Demand],ConsumptionModel_1000P[Resource],ResourceMonitor_1000P[[#This Row],[Resource]]))</f>
        <v>0</v>
      </c>
      <c r="T67" s="39">
        <f>MIN(0,ResourceMonitor_1000P[[#This Row],[Amount Available for Resident Consumption]]-SUMIFS(ConsumptionModel_1000P[Resource Demand],ConsumptionModel_1000P[Resource],ResourceMonitor_1000P[[#This Row],[Resource]]))</f>
        <v>0</v>
      </c>
      <c r="U67" s="122">
        <f>IFERROR(INDEX(#REF!,MATCH(ResourceMonitor_1000P[[#This Row],[Resource]],#REF!,0)),0)</f>
        <v>0</v>
      </c>
      <c r="V67" s="194">
        <f>IFERROR(ResourceMonitor_1000P[[#This Row],[Amount Produced]]/ResourceMonitor_1000P[[#This Row],[Production Target]],0)</f>
        <v>0</v>
      </c>
      <c r="W67" s="133"/>
      <c r="X67" s="47">
        <f>IF(ResourceMonitor_1000P[[#This Row],[Ignore shipping needs?]]="Yes",0,ROUNDUP(ResourceMonitor_1000P[[#This Row],[Production Target]]/INDEX(ShipRequirementCalculator[Cargo capacity/h (return, 50% empty)],MATCH($X$15,ShipRequirementCalculator[Ship],0)),0))</f>
        <v>0</v>
      </c>
      <c r="Y67" s="47">
        <f>IF(ResourceMonitor_1000P[[#This Row],[Ignore shipping needs?]]="Yes",0,ROUNDUP(ResourceMonitor_1000P[[#This Row],[Production Target]]/INDEX(ShipRequirementCalculator[Cargo capacity/h (return, 50% empty)],MATCH($Y$15,ShipRequirementCalculator[Ship],0)),0))</f>
        <v>0</v>
      </c>
      <c r="Z67" s="47">
        <f>IF(ResourceMonitor_1000P[[#This Row],[Ignore shipping needs?]]="Yes",0,ROUNDUP(ResourceMonitor_1000P[[#This Row],[Production Target]]/INDEX(ShipRequirementCalculator[Cargo capacity/h (return, 50% empty)],MATCH($Z$15,ShipRequirementCalculator[Ship],0)),0))</f>
        <v>0</v>
      </c>
      <c r="AA67" s="124"/>
      <c r="AC67" s="103" t="s">
        <v>167</v>
      </c>
      <c r="AD67" s="83">
        <f>ROW()</f>
        <v>67</v>
      </c>
      <c r="AE67" s="74">
        <v>11</v>
      </c>
      <c r="AF67" s="50" t="s">
        <v>166</v>
      </c>
      <c r="AG67" s="50"/>
      <c r="AH67" s="74">
        <v>11</v>
      </c>
      <c r="AI67" s="156">
        <f>IFERROR(IslandModel_1000P[[#This Row],[Quantity]]/IslandModel_1000P[[#This Row],[Target Quantity]],0)</f>
        <v>1</v>
      </c>
      <c r="AJ67" s="61" t="str">
        <f>IFERROR(INDEX(Production[Resource Produced],MATCH(IslandModel_1000P[[#This Row],[Building]],Production[Building],0)),"")</f>
        <v>Meat</v>
      </c>
      <c r="AK67" s="99">
        <f>IFERROR(IslandModel_1000P[[#This Row],[Quantity]]*INDEX(Production[Production in 1h],MATCH(IslandModel_1000P[[#This Row],[Building]],Production[Building],0))*IslandModel_1000P[[#This Row],[Input Consumption Multiplier]],0)</f>
        <v>660</v>
      </c>
      <c r="AL67" s="115">
        <f>100%</f>
        <v>1</v>
      </c>
      <c r="AM67"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67" s="77" t="str">
        <f>IFERROR(INDEX(Production[Input 1],MATCH(IslandModel_1000P[[#This Row],[Building]],Production[Building],0)),"")</f>
        <v>Land tile</v>
      </c>
      <c r="AO67" s="78"/>
      <c r="AP67"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11</v>
      </c>
      <c r="AQ67"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1723.3333333333333</v>
      </c>
      <c r="AR67"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11</v>
      </c>
      <c r="AS67" s="35" t="str">
        <f>IFERROR(INDEX(Production[Input 2],MATCH(IslandModel_1000P[[#This Row],[Building]],Production[Building],0)),"")</f>
        <v>Salt</v>
      </c>
      <c r="AT67" s="78"/>
      <c r="AU67"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165</v>
      </c>
      <c r="AV67"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165</v>
      </c>
      <c r="AW67"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165</v>
      </c>
      <c r="AX67" s="35" t="str">
        <f>IFERROR(INDEX(Production[Input 3],MATCH(IslandModel_1000P[[#This Row],[Building]],Production[Building],0)),"")</f>
        <v>Cattle</v>
      </c>
      <c r="AY67" s="78"/>
      <c r="AZ67"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330</v>
      </c>
      <c r="BA67"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330</v>
      </c>
      <c r="BB67"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330</v>
      </c>
      <c r="BC67" s="35">
        <f>IFERROR(INDEX(Production[Input 4],MATCH(IslandModel_1000P[[#This Row],[Building]],Production[Building],0)),"")</f>
        <v>0</v>
      </c>
      <c r="BD67" s="78"/>
      <c r="BE67"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67"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67"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67" s="35">
        <f>IFERROR(INDEX(Production[Input 5],MATCH(IslandModel_1000P[[#This Row],[Building]],Production[Building],0)),"")</f>
        <v>0</v>
      </c>
      <c r="BI67" s="78"/>
      <c r="BJ67"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67"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67"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67" s="35">
        <f>IFERROR(INDEX(Production[Input 6],MATCH(IslandModel_1000P[[#This Row],[Building]],Production[Building],0)),"")</f>
        <v>0</v>
      </c>
      <c r="BN67" s="78"/>
      <c r="BO67"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67"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67"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67" s="35">
        <f>IFERROR(INDEX(Production[Input 7],MATCH(IslandModel_1000P[[#This Row],[Building]],Production[Building],0)),"")</f>
        <v>0</v>
      </c>
      <c r="BS67" s="78"/>
      <c r="BT67"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67"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67"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67" s="35">
        <f>IFERROR(INDEX(Production[Input 8],MATCH(IslandModel_1000P[[#This Row],[Building]],Production[Building],0)),"")</f>
        <v>0</v>
      </c>
      <c r="BX67" s="78"/>
      <c r="BY67"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67"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67"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67" s="35">
        <f>IFERROR(INDEX(Production[Input 9],MATCH(IslandModel_1000P[[#This Row],[Building]],Production[Building],0)),"")</f>
        <v>0</v>
      </c>
      <c r="CC67" s="78"/>
      <c r="CD67"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67"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67"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67" s="35">
        <f>IFERROR(INDEX(Production[Input 10],MATCH(IslandModel_1000P[[#This Row],[Building]],Production[Building],0)),"")</f>
        <v>0</v>
      </c>
      <c r="CH67" s="78"/>
      <c r="CI67"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67"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67"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67"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67" s="82" t="str">
        <f>IslandModel_1000P[[#This Row],[Resource Produced]]</f>
        <v>Meat</v>
      </c>
      <c r="CN67" s="42">
        <f>IslandModel_1000P[[#This Row],[Amount produced/h]]</f>
        <v>660</v>
      </c>
      <c r="CO67" s="42" t="str">
        <f>IslandModel_1000P[[#This Row],[Input 1]]</f>
        <v>Land tile</v>
      </c>
      <c r="CP67" s="42">
        <f>-IslandModel_1000P[[#This Row],[Input 1 Consumed]]</f>
        <v>-11</v>
      </c>
      <c r="CQ67" s="42" t="str">
        <f>IslandModel_1000P[[#This Row],[Input 2]]</f>
        <v>Salt</v>
      </c>
      <c r="CR67" s="42">
        <f>-IslandModel_1000P[[#This Row],[Input 2 Consumed]]</f>
        <v>-165</v>
      </c>
      <c r="CS67" s="42" t="str">
        <f>IslandModel_1000P[[#This Row],[Input 3]]</f>
        <v>Cattle</v>
      </c>
      <c r="CT67" s="42">
        <f>-IslandModel_1000P[[#This Row],[Input 3 Consumed]]</f>
        <v>-330</v>
      </c>
      <c r="CU67" s="42">
        <f>IslandModel_1000P[[#This Row],[Input 4]]</f>
        <v>0</v>
      </c>
      <c r="CV67" s="42">
        <f>-IslandModel_1000P[[#This Row],[Input 4 Consumed]]</f>
        <v>0</v>
      </c>
      <c r="CW67" s="42">
        <f>IslandModel_1000P[[#This Row],[Input 5]]</f>
        <v>0</v>
      </c>
      <c r="CX67" s="42">
        <f>-IslandModel_1000P[[#This Row],[Input 5 Consumed]]</f>
        <v>0</v>
      </c>
      <c r="CY67" s="42">
        <f>IslandModel_1000P[[#This Row],[Input 6]]</f>
        <v>0</v>
      </c>
      <c r="CZ67" s="42">
        <f>-IslandModel_1000P[[#This Row],[Input 6 Consumed]]</f>
        <v>0</v>
      </c>
      <c r="DA67" s="42">
        <f>IslandModel_1000P[[#This Row],[Input 7]]</f>
        <v>0</v>
      </c>
      <c r="DB67" s="42">
        <f>-IslandModel_1000P[[#This Row],[Input 7 Consumed]]</f>
        <v>0</v>
      </c>
      <c r="DC67" s="42">
        <f>IslandModel_1000P[[#This Row],[Input 8]]</f>
        <v>0</v>
      </c>
      <c r="DD67" s="42">
        <f>-IslandModel_1000P[[#This Row],[Input 8 Consumed]]</f>
        <v>0</v>
      </c>
      <c r="DE67" s="42">
        <f>IslandModel_1000P[[#This Row],[Input 9]]</f>
        <v>0</v>
      </c>
      <c r="DF67" s="42">
        <f>-IslandModel_1000P[[#This Row],[Input 9 Consumed]]</f>
        <v>0</v>
      </c>
      <c r="DG67" s="42">
        <f>IslandModel_1000P[[#This Row],[Input 10]]</f>
        <v>0</v>
      </c>
      <c r="DH67" s="42">
        <f>-IslandModel_1000P[[#This Row],[Input 10 Consumed]]</f>
        <v>0</v>
      </c>
      <c r="DJ67" t="s">
        <v>171</v>
      </c>
      <c r="DK67" s="39">
        <f>SUM(SUMIFS(IslandModel_1000P[Resource 1 Qty],IslandModel_1000P[Resource 1],ResourceAvailable_1000P[[#This Row],[Resource]]))</f>
        <v>97.5</v>
      </c>
      <c r="DL67"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97.5</v>
      </c>
      <c r="DM67" s="39">
        <f>ResourceAvailable_1000P[[#This Row],[Amount Produced]]-ResourceAvailable_1000P[[#This Row],[Amount Consumed]]</f>
        <v>0</v>
      </c>
      <c r="DN67" s="20">
        <f>MAX(0,ResourceAvailable_1000P[[#This Row],[Amount Available for Resident Consumption]]-SUMIFS(ConsumptionModel_1000P[Resource Demand],ConsumptionModel_1000P[Resource],ResourceAvailable_1000P[[#This Row],[Resource]]))</f>
        <v>0</v>
      </c>
    </row>
    <row r="68" spans="2:118" ht="21" x14ac:dyDescent="0.65">
      <c r="B68" s="178">
        <f>ROW()</f>
        <v>68</v>
      </c>
      <c r="C68" s="70">
        <f>INDEX(ConsumptionModelInputs_1000P[Quantity],MATCH(ConsumptionModel_1000P[[#This Row],[Building]],ConsumptionModelInputs_1000P[Building],0))</f>
        <v>34</v>
      </c>
      <c r="D68" s="179" t="s">
        <v>59</v>
      </c>
      <c r="E68" s="179" t="s">
        <v>465</v>
      </c>
      <c r="F68" s="64" t="str">
        <f>IF(OR(ISBLANK(ConsumptionModel_1000P[[#This Row],[Building]]),ISBLANK(ConsumptionModel_1000P[[#This Row],[Resource]]))," - ",INDEX(Consumption[Type],MATCH(ConsumptionModel_1000P[[#This Row],[LookupValue]],Consumption[LookupValue],0)))</f>
        <v>Luxury</v>
      </c>
      <c r="G68" s="61" t="str">
        <f>IF(OR(ISBLANK(ConsumptionModel_1000P[[#This Row],[Building]]),ISBLANK(ConsumptionModel_1000P[[#This Row],[Resource]]))," - ",ConsumptionModel_1000P[[#This Row],[Building]]&amp;" - "&amp;ConsumptionModel_1000P[[#This Row],[Resource]])</f>
        <v>Paragon's Residence - Entertainment</v>
      </c>
      <c r="H68" s="62">
        <f>ConsumptionModel_1000P[[#This Row],[Quantity]]*INDEX(Consumption[Consumption/person/h],MATCH(ConsumptionModel_1000P[[#This Row],[LookupValue]],Consumption[LookupValue],0))*IFERROR(INDEX(ResidentBuildings[Residents],MATCH(ConsumptionModel_1000P[[#This Row],[Building]],ResidentBuildings[Building],0)),0)</f>
        <v>0</v>
      </c>
      <c r="I68"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1</v>
      </c>
      <c r="J68" s="65">
        <f>IF(ConsumptionModel_1000P[[#This Row],[Quantity]]=0,"",IF(AND(ConsumptionModel_1000P[[#This Row],[Resource Demand]]=0,ConsumptionModel_1000P[[#This Row],[Resource Available]]&gt;0),1,MIN(1,IFERROR(ConsumptionModel_1000P[[#This Row],[Resource Available]]/ConsumptionModel_1000P[[#This Row],[Resource Demand]],0))))</f>
        <v>1</v>
      </c>
      <c r="K68"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1.8359999999999999</v>
      </c>
      <c r="O68" s="197"/>
      <c r="P68" s="71">
        <f>SUMIFS(ResourceAvailable_1000P[Amount Produced],ResourceAvailable_1000P[Resource],ResourceMonitor_1000P[[#This Row],[Resource]])</f>
        <v>0</v>
      </c>
      <c r="Q68" s="71">
        <f>SUMIFS(ResourceAvailable_1000P[Amount Consumed],ResourceAvailable_1000P[Resource],ResourceMonitor_1000P[[#This Row],[Resource]])</f>
        <v>0</v>
      </c>
      <c r="R68" s="71">
        <f>SUMIFS(ResourceAvailable_1000P[Amount Available for Resident Consumption],ResourceAvailable_1000P[Resource],ResourceMonitor_1000P[[#This Row],[Resource]])</f>
        <v>0</v>
      </c>
      <c r="S68" s="39">
        <f>MAX(0,ResourceMonitor_1000P[[#This Row],[Amount Available for Resident Consumption]]-SUMIFS(ConsumptionModel_1000P[Resource Demand],ConsumptionModel_1000P[Resource],ResourceMonitor_1000P[[#This Row],[Resource]]))</f>
        <v>0</v>
      </c>
      <c r="T68" s="39">
        <f>MIN(0,ResourceMonitor_1000P[[#This Row],[Amount Available for Resident Consumption]]-SUMIFS(ConsumptionModel_1000P[Resource Demand],ConsumptionModel_1000P[Resource],ResourceMonitor_1000P[[#This Row],[Resource]]))</f>
        <v>0</v>
      </c>
      <c r="U68" s="122">
        <f>IFERROR(INDEX(#REF!,MATCH(ResourceMonitor_1000P[[#This Row],[Resource]],#REF!,0)),0)</f>
        <v>0</v>
      </c>
      <c r="V68" s="194">
        <f>IFERROR(ResourceMonitor_1000P[[#This Row],[Amount Produced]]/ResourceMonitor_1000P[[#This Row],[Production Target]],0)</f>
        <v>0</v>
      </c>
      <c r="W68" s="133"/>
      <c r="X68" s="47">
        <f>IF(ResourceMonitor_1000P[[#This Row],[Ignore shipping needs?]]="Yes",0,ROUNDUP(ResourceMonitor_1000P[[#This Row],[Production Target]]/INDEX(ShipRequirementCalculator[Cargo capacity/h (return, 50% empty)],MATCH($X$15,ShipRequirementCalculator[Ship],0)),0))</f>
        <v>0</v>
      </c>
      <c r="Y68" s="47">
        <f>IF(ResourceMonitor_1000P[[#This Row],[Ignore shipping needs?]]="Yes",0,ROUNDUP(ResourceMonitor_1000P[[#This Row],[Production Target]]/INDEX(ShipRequirementCalculator[Cargo capacity/h (return, 50% empty)],MATCH($Y$15,ShipRequirementCalculator[Ship],0)),0))</f>
        <v>0</v>
      </c>
      <c r="Z68" s="47">
        <f>IF(ResourceMonitor_1000P[[#This Row],[Ignore shipping needs?]]="Yes",0,ROUNDUP(ResourceMonitor_1000P[[#This Row],[Production Target]]/INDEX(ShipRequirementCalculator[Cargo capacity/h (return, 50% empty)],MATCH($Z$15,ShipRequirementCalculator[Ship],0)),0))</f>
        <v>0</v>
      </c>
      <c r="AA68" s="124"/>
      <c r="AC68" s="103" t="s">
        <v>173</v>
      </c>
      <c r="AD68" s="83">
        <f>ROW()</f>
        <v>68</v>
      </c>
      <c r="AE68" s="74">
        <v>1</v>
      </c>
      <c r="AF68" s="50" t="s">
        <v>138</v>
      </c>
      <c r="AG68" s="18"/>
      <c r="AH68" s="74">
        <v>1</v>
      </c>
      <c r="AI68" s="156">
        <f>IFERROR(IslandModel_1000P[[#This Row],[Quantity]]/IslandModel_1000P[[#This Row],[Target Quantity]],0)</f>
        <v>1</v>
      </c>
      <c r="AJ68" s="61" t="str">
        <f>IFERROR(INDEX(Production[Resource Produced],MATCH(IslandModel_1000P[[#This Row],[Building]],Production[Building],0)),"")</f>
        <v>Coal</v>
      </c>
      <c r="AK68" s="99">
        <f>IFERROR(IslandModel_1000P[[#This Row],[Quantity]]*INDEX(Production[Production in 1h],MATCH(IslandModel_1000P[[#This Row],[Building]],Production[Building],0))*IslandModel_1000P[[#This Row],[Input Consumption Multiplier]],0)</f>
        <v>30</v>
      </c>
      <c r="AL68" s="115">
        <f>100%</f>
        <v>1</v>
      </c>
      <c r="AM68"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68" s="77" t="str">
        <f>IFERROR(INDEX(Production[Input 1],MATCH(IslandModel_1000P[[#This Row],[Building]],Production[Building],0)),"")</f>
        <v>Mountain tile</v>
      </c>
      <c r="AO68" s="78"/>
      <c r="AP68"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v>
      </c>
      <c r="AQ68"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320</v>
      </c>
      <c r="AR68"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v>
      </c>
      <c r="AS68" s="35">
        <f>IFERROR(INDEX(Production[Input 2],MATCH(IslandModel_1000P[[#This Row],[Building]],Production[Building],0)),"")</f>
        <v>0</v>
      </c>
      <c r="AT68" s="78"/>
      <c r="AU68"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68"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68"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68" s="35">
        <f>IFERROR(INDEX(Production[Input 3],MATCH(IslandModel_1000P[[#This Row],[Building]],Production[Building],0)),"")</f>
        <v>0</v>
      </c>
      <c r="AY68" s="78"/>
      <c r="AZ68"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68"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68"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68" s="35">
        <f>IFERROR(INDEX(Production[Input 4],MATCH(IslandModel_1000P[[#This Row],[Building]],Production[Building],0)),"")</f>
        <v>0</v>
      </c>
      <c r="BD68" s="78"/>
      <c r="BE68"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68"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68"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68" s="35">
        <f>IFERROR(INDEX(Production[Input 5],MATCH(IslandModel_1000P[[#This Row],[Building]],Production[Building],0)),"")</f>
        <v>0</v>
      </c>
      <c r="BI68" s="78"/>
      <c r="BJ68"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68"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68"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68" s="35">
        <f>IFERROR(INDEX(Production[Input 6],MATCH(IslandModel_1000P[[#This Row],[Building]],Production[Building],0)),"")</f>
        <v>0</v>
      </c>
      <c r="BN68" s="78"/>
      <c r="BO68"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68"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68"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68" s="35">
        <f>IFERROR(INDEX(Production[Input 7],MATCH(IslandModel_1000P[[#This Row],[Building]],Production[Building],0)),"")</f>
        <v>0</v>
      </c>
      <c r="BS68" s="78"/>
      <c r="BT68"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68"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68"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68" s="35">
        <f>IFERROR(INDEX(Production[Input 8],MATCH(IslandModel_1000P[[#This Row],[Building]],Production[Building],0)),"")</f>
        <v>0</v>
      </c>
      <c r="BX68" s="78"/>
      <c r="BY68"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68"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68"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68" s="35">
        <f>IFERROR(INDEX(Production[Input 9],MATCH(IslandModel_1000P[[#This Row],[Building]],Production[Building],0)),"")</f>
        <v>0</v>
      </c>
      <c r="CC68" s="78"/>
      <c r="CD68"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68"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68"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68" s="35">
        <f>IFERROR(INDEX(Production[Input 10],MATCH(IslandModel_1000P[[#This Row],[Building]],Production[Building],0)),"")</f>
        <v>0</v>
      </c>
      <c r="CH68" s="78"/>
      <c r="CI68"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68"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68"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68"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68" s="82" t="str">
        <f>IslandModel_1000P[[#This Row],[Resource Produced]]</f>
        <v>Coal</v>
      </c>
      <c r="CN68" s="42">
        <f>IslandModel_1000P[[#This Row],[Amount produced/h]]</f>
        <v>30</v>
      </c>
      <c r="CO68" s="42" t="str">
        <f>IslandModel_1000P[[#This Row],[Input 1]]</f>
        <v>Mountain tile</v>
      </c>
      <c r="CP68" s="42">
        <f>-IslandModel_1000P[[#This Row],[Input 1 Consumed]]</f>
        <v>-1</v>
      </c>
      <c r="CQ68" s="42">
        <f>IslandModel_1000P[[#This Row],[Input 2]]</f>
        <v>0</v>
      </c>
      <c r="CR68" s="42">
        <f>-IslandModel_1000P[[#This Row],[Input 2 Consumed]]</f>
        <v>0</v>
      </c>
      <c r="CS68" s="42">
        <f>IslandModel_1000P[[#This Row],[Input 3]]</f>
        <v>0</v>
      </c>
      <c r="CT68" s="42">
        <f>-IslandModel_1000P[[#This Row],[Input 3 Consumed]]</f>
        <v>0</v>
      </c>
      <c r="CU68" s="42">
        <f>IslandModel_1000P[[#This Row],[Input 4]]</f>
        <v>0</v>
      </c>
      <c r="CV68" s="42">
        <f>-IslandModel_1000P[[#This Row],[Input 4 Consumed]]</f>
        <v>0</v>
      </c>
      <c r="CW68" s="42">
        <f>IslandModel_1000P[[#This Row],[Input 5]]</f>
        <v>0</v>
      </c>
      <c r="CX68" s="42">
        <f>-IslandModel_1000P[[#This Row],[Input 5 Consumed]]</f>
        <v>0</v>
      </c>
      <c r="CY68" s="42">
        <f>IslandModel_1000P[[#This Row],[Input 6]]</f>
        <v>0</v>
      </c>
      <c r="CZ68" s="42">
        <f>-IslandModel_1000P[[#This Row],[Input 6 Consumed]]</f>
        <v>0</v>
      </c>
      <c r="DA68" s="42">
        <f>IslandModel_1000P[[#This Row],[Input 7]]</f>
        <v>0</v>
      </c>
      <c r="DB68" s="42">
        <f>-IslandModel_1000P[[#This Row],[Input 7 Consumed]]</f>
        <v>0</v>
      </c>
      <c r="DC68" s="42">
        <f>IslandModel_1000P[[#This Row],[Input 8]]</f>
        <v>0</v>
      </c>
      <c r="DD68" s="42">
        <f>-IslandModel_1000P[[#This Row],[Input 8 Consumed]]</f>
        <v>0</v>
      </c>
      <c r="DE68" s="42">
        <f>IslandModel_1000P[[#This Row],[Input 9]]</f>
        <v>0</v>
      </c>
      <c r="DF68" s="42">
        <f>-IslandModel_1000P[[#This Row],[Input 9 Consumed]]</f>
        <v>0</v>
      </c>
      <c r="DG68" s="42">
        <f>IslandModel_1000P[[#This Row],[Input 10]]</f>
        <v>0</v>
      </c>
      <c r="DH68" s="42">
        <f>-IslandModel_1000P[[#This Row],[Input 10 Consumed]]</f>
        <v>0</v>
      </c>
      <c r="DJ68" t="s">
        <v>173</v>
      </c>
      <c r="DK68" s="39">
        <f>SUM(SUMIFS(IslandModel_1000P[Resource 1 Qty],IslandModel_1000P[Resource 1],ResourceAvailable_1000P[[#This Row],[Resource]]))</f>
        <v>30</v>
      </c>
      <c r="DL68"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68" s="39">
        <f>ResourceAvailable_1000P[[#This Row],[Amount Produced]]-ResourceAvailable_1000P[[#This Row],[Amount Consumed]]</f>
        <v>30</v>
      </c>
      <c r="DN68" s="20">
        <f>MAX(0,ResourceAvailable_1000P[[#This Row],[Amount Available for Resident Consumption]]-SUMIFS(ConsumptionModel_1000P[Resource Demand],ConsumptionModel_1000P[Resource],ResourceAvailable_1000P[[#This Row],[Resource]]))</f>
        <v>3</v>
      </c>
    </row>
    <row r="69" spans="2:118" ht="21" x14ac:dyDescent="0.65">
      <c r="B69" s="178">
        <f>ROW()</f>
        <v>69</v>
      </c>
      <c r="C69" s="70">
        <f>INDEX(ConsumptionModelInputs_1000P[Quantity],MATCH(ConsumptionModel_1000P[[#This Row],[Building]],ConsumptionModelInputs_1000P[Building],0))</f>
        <v>34</v>
      </c>
      <c r="D69" s="179" t="s">
        <v>59</v>
      </c>
      <c r="E69" s="179" t="s">
        <v>652</v>
      </c>
      <c r="F69" s="64" t="str">
        <f>IF(OR(ISBLANK(ConsumptionModel_1000P[[#This Row],[Building]]),ISBLANK(ConsumptionModel_1000P[[#This Row],[Resource]]))," - ",INDEX(Consumption[Type],MATCH(ConsumptionModel_1000P[[#This Row],[LookupValue]],Consumption[LookupValue],0)))</f>
        <v>Luxury</v>
      </c>
      <c r="G69" s="61" t="str">
        <f>IF(OR(ISBLANK(ConsumptionModel_1000P[[#This Row],[Building]]),ISBLANK(ConsumptionModel_1000P[[#This Row],[Resource]]))," - ",ConsumptionModel_1000P[[#This Row],[Building]]&amp;" - "&amp;ConsumptionModel_1000P[[#This Row],[Resource]])</f>
        <v>Paragon's Residence - Gambling</v>
      </c>
      <c r="H69" s="62">
        <f>ConsumptionModel_1000P[[#This Row],[Quantity]]*INDEX(Consumption[Consumption/person/h],MATCH(ConsumptionModel_1000P[[#This Row],[LookupValue]],Consumption[LookupValue],0))*IFERROR(INDEX(ResidentBuildings[Residents],MATCH(ConsumptionModel_1000P[[#This Row],[Building]],ResidentBuildings[Building],0)),0)</f>
        <v>0</v>
      </c>
      <c r="I69" s="62">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1</v>
      </c>
      <c r="J69" s="65">
        <f>IF(ConsumptionModel_1000P[[#This Row],[Quantity]]=0,"",IF(AND(ConsumptionModel_1000P[[#This Row],[Resource Demand]]=0,ConsumptionModel_1000P[[#This Row],[Resource Available]]&gt;0),1,MIN(1,IFERROR(ConsumptionModel_1000P[[#This Row],[Resource Available]]/ConsumptionModel_1000P[[#This Row],[Resource Demand]],0))))</f>
        <v>1</v>
      </c>
      <c r="K69" s="180">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1.8359999999999999</v>
      </c>
      <c r="O69" s="197"/>
      <c r="P69" s="71">
        <f>SUMIFS(ResourceAvailable_1000P[Amount Produced],ResourceAvailable_1000P[Resource],ResourceMonitor_1000P[[#This Row],[Resource]])</f>
        <v>0</v>
      </c>
      <c r="Q69" s="71">
        <f>SUMIFS(ResourceAvailable_1000P[Amount Consumed],ResourceAvailable_1000P[Resource],ResourceMonitor_1000P[[#This Row],[Resource]])</f>
        <v>0</v>
      </c>
      <c r="R69" s="71">
        <f>SUMIFS(ResourceAvailable_1000P[Amount Available for Resident Consumption],ResourceAvailable_1000P[Resource],ResourceMonitor_1000P[[#This Row],[Resource]])</f>
        <v>0</v>
      </c>
      <c r="S69" s="39">
        <f>MAX(0,ResourceMonitor_1000P[[#This Row],[Amount Available for Resident Consumption]]-SUMIFS(ConsumptionModel_1000P[Resource Demand],ConsumptionModel_1000P[Resource],ResourceMonitor_1000P[[#This Row],[Resource]]))</f>
        <v>0</v>
      </c>
      <c r="T69" s="39">
        <f>MIN(0,ResourceMonitor_1000P[[#This Row],[Amount Available for Resident Consumption]]-SUMIFS(ConsumptionModel_1000P[Resource Demand],ConsumptionModel_1000P[Resource],ResourceMonitor_1000P[[#This Row],[Resource]]))</f>
        <v>0</v>
      </c>
      <c r="U69" s="122">
        <f>IFERROR(INDEX(#REF!,MATCH(ResourceMonitor_1000P[[#This Row],[Resource]],#REF!,0)),0)</f>
        <v>0</v>
      </c>
      <c r="V69" s="194">
        <f>IFERROR(ResourceMonitor_1000P[[#This Row],[Amount Produced]]/ResourceMonitor_1000P[[#This Row],[Production Target]],0)</f>
        <v>0</v>
      </c>
      <c r="W69" s="133"/>
      <c r="X69" s="47">
        <f>IF(ResourceMonitor_1000P[[#This Row],[Ignore shipping needs?]]="Yes",0,ROUNDUP(ResourceMonitor_1000P[[#This Row],[Production Target]]/INDEX(ShipRequirementCalculator[Cargo capacity/h (return, 50% empty)],MATCH($X$15,ShipRequirementCalculator[Ship],0)),0))</f>
        <v>0</v>
      </c>
      <c r="Y69" s="47">
        <f>IF(ResourceMonitor_1000P[[#This Row],[Ignore shipping needs?]]="Yes",0,ROUNDUP(ResourceMonitor_1000P[[#This Row],[Production Target]]/INDEX(ShipRequirementCalculator[Cargo capacity/h (return, 50% empty)],MATCH($Y$15,ShipRequirementCalculator[Ship],0)),0))</f>
        <v>0</v>
      </c>
      <c r="Z69" s="47">
        <f>IF(ResourceMonitor_1000P[[#This Row],[Ignore shipping needs?]]="Yes",0,ROUNDUP(ResourceMonitor_1000P[[#This Row],[Production Target]]/INDEX(ShipRequirementCalculator[Cargo capacity/h (return, 50% empty)],MATCH($Z$15,ShipRequirementCalculator[Ship],0)),0))</f>
        <v>0</v>
      </c>
      <c r="AA69" s="124"/>
      <c r="AC69" s="103" t="s">
        <v>173</v>
      </c>
      <c r="AD69" s="83">
        <f>ROW()</f>
        <v>69</v>
      </c>
      <c r="AE69" s="74"/>
      <c r="AF69" s="50" t="s">
        <v>50</v>
      </c>
      <c r="AG69" s="18"/>
      <c r="AH69" s="74"/>
      <c r="AI69" s="156">
        <f>IFERROR(IslandModel_1000P[[#This Row],[Quantity]]/IslandModel_1000P[[#This Row],[Target Quantity]],0)</f>
        <v>0</v>
      </c>
      <c r="AJ69" s="61" t="str">
        <f>IFERROR(INDEX(Production[Resource Produced],MATCH(IslandModel_1000P[[#This Row],[Building]],Production[Building],0)),"")</f>
        <v>Wood</v>
      </c>
      <c r="AK69" s="99">
        <f>IFERROR(IslandModel_1000P[[#This Row],[Quantity]]*INDEX(Production[Production in 1h],MATCH(IslandModel_1000P[[#This Row],[Building]],Production[Building],0))*IslandModel_1000P[[#This Row],[Input Consumption Multiplier]],0)</f>
        <v>0</v>
      </c>
      <c r="AL69" s="115">
        <f>100%</f>
        <v>1</v>
      </c>
      <c r="AM69"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69" s="77" t="str">
        <f>IFERROR(INDEX(Production[Input 1],MATCH(IslandModel_1000P[[#This Row],[Building]],Production[Building],0)),"")</f>
        <v>Land tile</v>
      </c>
      <c r="AO69" s="78"/>
      <c r="AP69"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69"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1712.3333333333333</v>
      </c>
      <c r="AR69"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69" s="35">
        <f>IFERROR(INDEX(Production[Input 2],MATCH(IslandModel_1000P[[#This Row],[Building]],Production[Building],0)),"")</f>
        <v>0</v>
      </c>
      <c r="AT69" s="78"/>
      <c r="AU69"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69"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69"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69" s="35">
        <f>IFERROR(INDEX(Production[Input 3],MATCH(IslandModel_1000P[[#This Row],[Building]],Production[Building],0)),"")</f>
        <v>0</v>
      </c>
      <c r="AY69" s="78"/>
      <c r="AZ69"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69"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69"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69" s="35">
        <f>IFERROR(INDEX(Production[Input 4],MATCH(IslandModel_1000P[[#This Row],[Building]],Production[Building],0)),"")</f>
        <v>0</v>
      </c>
      <c r="BD69" s="78"/>
      <c r="BE69"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69"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69"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69" s="35">
        <f>IFERROR(INDEX(Production[Input 5],MATCH(IslandModel_1000P[[#This Row],[Building]],Production[Building],0)),"")</f>
        <v>0</v>
      </c>
      <c r="BI69" s="78"/>
      <c r="BJ69"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69"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69"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69" s="35">
        <f>IFERROR(INDEX(Production[Input 6],MATCH(IslandModel_1000P[[#This Row],[Building]],Production[Building],0)),"")</f>
        <v>0</v>
      </c>
      <c r="BN69" s="78"/>
      <c r="BO69"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69"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69"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69" s="35">
        <f>IFERROR(INDEX(Production[Input 7],MATCH(IslandModel_1000P[[#This Row],[Building]],Production[Building],0)),"")</f>
        <v>0</v>
      </c>
      <c r="BS69" s="78"/>
      <c r="BT69"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69"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69"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69" s="35">
        <f>IFERROR(INDEX(Production[Input 8],MATCH(IslandModel_1000P[[#This Row],[Building]],Production[Building],0)),"")</f>
        <v>0</v>
      </c>
      <c r="BX69" s="78"/>
      <c r="BY69"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69"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69"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69" s="35">
        <f>IFERROR(INDEX(Production[Input 9],MATCH(IslandModel_1000P[[#This Row],[Building]],Production[Building],0)),"")</f>
        <v>0</v>
      </c>
      <c r="CC69" s="78"/>
      <c r="CD69"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69"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69"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69" s="35">
        <f>IFERROR(INDEX(Production[Input 10],MATCH(IslandModel_1000P[[#This Row],[Building]],Production[Building],0)),"")</f>
        <v>0</v>
      </c>
      <c r="CH69" s="78"/>
      <c r="CI69"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69"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69"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69"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69" s="82" t="str">
        <f>IslandModel_1000P[[#This Row],[Resource Produced]]</f>
        <v>Wood</v>
      </c>
      <c r="CN69" s="42">
        <f>IslandModel_1000P[[#This Row],[Amount produced/h]]</f>
        <v>0</v>
      </c>
      <c r="CO69" s="42" t="str">
        <f>IslandModel_1000P[[#This Row],[Input 1]]</f>
        <v>Land tile</v>
      </c>
      <c r="CP69" s="42">
        <f>-IslandModel_1000P[[#This Row],[Input 1 Consumed]]</f>
        <v>0</v>
      </c>
      <c r="CQ69" s="42">
        <f>IslandModel_1000P[[#This Row],[Input 2]]</f>
        <v>0</v>
      </c>
      <c r="CR69" s="42">
        <f>-IslandModel_1000P[[#This Row],[Input 2 Consumed]]</f>
        <v>0</v>
      </c>
      <c r="CS69" s="42">
        <f>IslandModel_1000P[[#This Row],[Input 3]]</f>
        <v>0</v>
      </c>
      <c r="CT69" s="42">
        <f>-IslandModel_1000P[[#This Row],[Input 3 Consumed]]</f>
        <v>0</v>
      </c>
      <c r="CU69" s="42">
        <f>IslandModel_1000P[[#This Row],[Input 4]]</f>
        <v>0</v>
      </c>
      <c r="CV69" s="42">
        <f>-IslandModel_1000P[[#This Row],[Input 4 Consumed]]</f>
        <v>0</v>
      </c>
      <c r="CW69" s="42">
        <f>IslandModel_1000P[[#This Row],[Input 5]]</f>
        <v>0</v>
      </c>
      <c r="CX69" s="42">
        <f>-IslandModel_1000P[[#This Row],[Input 5 Consumed]]</f>
        <v>0</v>
      </c>
      <c r="CY69" s="42">
        <f>IslandModel_1000P[[#This Row],[Input 6]]</f>
        <v>0</v>
      </c>
      <c r="CZ69" s="42">
        <f>-IslandModel_1000P[[#This Row],[Input 6 Consumed]]</f>
        <v>0</v>
      </c>
      <c r="DA69" s="42">
        <f>IslandModel_1000P[[#This Row],[Input 7]]</f>
        <v>0</v>
      </c>
      <c r="DB69" s="42">
        <f>-IslandModel_1000P[[#This Row],[Input 7 Consumed]]</f>
        <v>0</v>
      </c>
      <c r="DC69" s="42">
        <f>IslandModel_1000P[[#This Row],[Input 8]]</f>
        <v>0</v>
      </c>
      <c r="DD69" s="42">
        <f>-IslandModel_1000P[[#This Row],[Input 8 Consumed]]</f>
        <v>0</v>
      </c>
      <c r="DE69" s="42">
        <f>IslandModel_1000P[[#This Row],[Input 9]]</f>
        <v>0</v>
      </c>
      <c r="DF69" s="42">
        <f>-IslandModel_1000P[[#This Row],[Input 9 Consumed]]</f>
        <v>0</v>
      </c>
      <c r="DG69" s="42">
        <f>IslandModel_1000P[[#This Row],[Input 10]]</f>
        <v>0</v>
      </c>
      <c r="DH69" s="42">
        <f>-IslandModel_1000P[[#This Row],[Input 10 Consumed]]</f>
        <v>0</v>
      </c>
      <c r="DJ69" t="s">
        <v>169</v>
      </c>
      <c r="DK69" s="39">
        <f>SUM(SUMIFS(IslandModel_1000P[Resource 1 Qty],IslandModel_1000P[Resource 1],ResourceAvailable_1000P[[#This Row],[Resource]]))</f>
        <v>105</v>
      </c>
      <c r="DL69"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97.5</v>
      </c>
      <c r="DM69" s="39">
        <f>ResourceAvailable_1000P[[#This Row],[Amount Produced]]-ResourceAvailable_1000P[[#This Row],[Amount Consumed]]</f>
        <v>7.5</v>
      </c>
      <c r="DN69" s="20">
        <f>MAX(0,ResourceAvailable_1000P[[#This Row],[Amount Available for Resident Consumption]]-SUMIFS(ConsumptionModel_1000P[Resource Demand],ConsumptionModel_1000P[Resource],ResourceAvailable_1000P[[#This Row],[Resource]]))</f>
        <v>7.5</v>
      </c>
    </row>
    <row r="70" spans="2:118" ht="21.4" thickBot="1" x14ac:dyDescent="0.7">
      <c r="B70" s="181">
        <f>ROW()</f>
        <v>70</v>
      </c>
      <c r="C70" s="182">
        <f>INDEX(ConsumptionModelInputs_1000P[Quantity],MATCH(ConsumptionModel_1000P[[#This Row],[Building]],ConsumptionModelInputs_1000P[Building],0))</f>
        <v>34</v>
      </c>
      <c r="D70" s="183" t="s">
        <v>59</v>
      </c>
      <c r="E70" s="183" t="s">
        <v>464</v>
      </c>
      <c r="F70" s="184" t="str">
        <f>IF(OR(ISBLANK(ConsumptionModel_1000P[[#This Row],[Building]]),ISBLANK(ConsumptionModel_1000P[[#This Row],[Resource]]))," - ",INDEX(Consumption[Type],MATCH(ConsumptionModel_1000P[[#This Row],[LookupValue]],Consumption[LookupValue],0)))</f>
        <v>Luxury</v>
      </c>
      <c r="G70" s="185" t="str">
        <f>IF(OR(ISBLANK(ConsumptionModel_1000P[[#This Row],[Building]]),ISBLANK(ConsumptionModel_1000P[[#This Row],[Resource]]))," - ",ConsumptionModel_1000P[[#This Row],[Building]]&amp;" - "&amp;ConsumptionModel_1000P[[#This Row],[Resource]])</f>
        <v>Paragon's Residence - University</v>
      </c>
      <c r="H70" s="186">
        <f>ConsumptionModel_1000P[[#This Row],[Quantity]]*INDEX(Consumption[Consumption/person/h],MATCH(ConsumptionModel_1000P[[#This Row],[LookupValue]],Consumption[LookupValue],0))*IFERROR(INDEX(ResidentBuildings[Residents],MATCH(ConsumptionModel_1000P[[#This Row],[Building]],ResidentBuildings[Building],0)),0)</f>
        <v>0</v>
      </c>
      <c r="I70" s="186">
        <f>IF(ConsumptionModel_1000P[[#This Row],[Quantity]]=0,"",IFERROR(MAX(0,INDEX(ResourceAvailable_1000P[Amount Available for Resident Consumption],MATCH(ConsumptionModel_1000P[[#This Row],[Resource]],ResourceAvailable_1000P[Resource],0))-SUMIFS(ConsumptionModel_1000P[Resource Demand],ConsumptionModel_1000P[ROW ID],"&lt;"&amp;ConsumptionModel_1000P[[#This Row],[ROW ID]],ConsumptionModel_1000P[Resource],ConsumptionModel_1000P[[#This Row],[Resource]])),0))</f>
        <v>1</v>
      </c>
      <c r="J70" s="187">
        <f>IF(ConsumptionModel_1000P[[#This Row],[Quantity]]=0,"",IF(AND(ConsumptionModel_1000P[[#This Row],[Resource Demand]]=0,ConsumptionModel_1000P[[#This Row],[Resource Available]]&gt;0),1,MIN(1,IFERROR(ConsumptionModel_1000P[[#This Row],[Resource Available]]/ConsumptionModel_1000P[[#This Row],[Resource Demand]],0))))</f>
        <v>1</v>
      </c>
      <c r="K70" s="188">
        <f>IF(ConsumptionModel_1000P[[#This Row],[Quantity]]=0,"",ConsumptionModel_1000P[[#This Row],[Quantity]]*INDEX(Consumption[Production/person/h],MATCH(ConsumptionModel_1000P[[#This Row],[LookupValue]],Consumption[LookupValue],0))*IFERROR(INDEX(ResidentBuildings[Residents],MATCH(ConsumptionModel_1000P[[#This Row],[Building]],ResidentBuildings[Building],0)),0)*ConsumptionModel_1000P[[#This Row],[Satisfaction]])</f>
        <v>1.8359999999999999</v>
      </c>
      <c r="O70" s="197"/>
      <c r="P70" s="71">
        <f>SUMIFS(ResourceAvailable_1000P[Amount Produced],ResourceAvailable_1000P[Resource],ResourceMonitor_1000P[[#This Row],[Resource]])</f>
        <v>0</v>
      </c>
      <c r="Q70" s="71">
        <f>SUMIFS(ResourceAvailable_1000P[Amount Consumed],ResourceAvailable_1000P[Resource],ResourceMonitor_1000P[[#This Row],[Resource]])</f>
        <v>0</v>
      </c>
      <c r="R70" s="71">
        <f>SUMIFS(ResourceAvailable_1000P[Amount Available for Resident Consumption],ResourceAvailable_1000P[Resource],ResourceMonitor_1000P[[#This Row],[Resource]])</f>
        <v>0</v>
      </c>
      <c r="S70" s="39">
        <f>MAX(0,ResourceMonitor_1000P[[#This Row],[Amount Available for Resident Consumption]]-SUMIFS(ConsumptionModel_1000P[Resource Demand],ConsumptionModel_1000P[Resource],ResourceMonitor_1000P[[#This Row],[Resource]]))</f>
        <v>0</v>
      </c>
      <c r="T70" s="39">
        <f>MIN(0,ResourceMonitor_1000P[[#This Row],[Amount Available for Resident Consumption]]-SUMIFS(ConsumptionModel_1000P[Resource Demand],ConsumptionModel_1000P[Resource],ResourceMonitor_1000P[[#This Row],[Resource]]))</f>
        <v>0</v>
      </c>
      <c r="U70" s="122">
        <f>IFERROR(INDEX(#REF!,MATCH(ResourceMonitor_1000P[[#This Row],[Resource]],#REF!,0)),0)</f>
        <v>0</v>
      </c>
      <c r="V70" s="194">
        <f>IFERROR(ResourceMonitor_1000P[[#This Row],[Amount Produced]]/ResourceMonitor_1000P[[#This Row],[Production Target]],0)</f>
        <v>0</v>
      </c>
      <c r="W70" s="133"/>
      <c r="X70" s="47">
        <f>IF(ResourceMonitor_1000P[[#This Row],[Ignore shipping needs?]]="Yes",0,ROUNDUP(ResourceMonitor_1000P[[#This Row],[Production Target]]/INDEX(ShipRequirementCalculator[Cargo capacity/h (return, 50% empty)],MATCH($X$15,ShipRequirementCalculator[Ship],0)),0))</f>
        <v>0</v>
      </c>
      <c r="Y70" s="47">
        <f>IF(ResourceMonitor_1000P[[#This Row],[Ignore shipping needs?]]="Yes",0,ROUNDUP(ResourceMonitor_1000P[[#This Row],[Production Target]]/INDEX(ShipRequirementCalculator[Cargo capacity/h (return, 50% empty)],MATCH($Y$15,ShipRequirementCalculator[Ship],0)),0))</f>
        <v>0</v>
      </c>
      <c r="Z70" s="47">
        <f>IF(ResourceMonitor_1000P[[#This Row],[Ignore shipping needs?]]="Yes",0,ROUNDUP(ResourceMonitor_1000P[[#This Row],[Production Target]]/INDEX(ShipRequirementCalculator[Cargo capacity/h (return, 50% empty)],MATCH($Z$15,ShipRequirementCalculator[Ship],0)),0))</f>
        <v>0</v>
      </c>
      <c r="AA70" s="124"/>
      <c r="AC70" s="103" t="s">
        <v>173</v>
      </c>
      <c r="AD70" s="83">
        <f>ROW()</f>
        <v>70</v>
      </c>
      <c r="AE70" s="74"/>
      <c r="AF70" s="50" t="s">
        <v>858</v>
      </c>
      <c r="AG70" s="18"/>
      <c r="AH70" s="74"/>
      <c r="AI70" s="156">
        <f>IFERROR(IslandModel_1000P[[#This Row],[Quantity]]/IslandModel_1000P[[#This Row],[Target Quantity]],0)</f>
        <v>0</v>
      </c>
      <c r="AJ70" s="61" t="str">
        <f>IFERROR(INDEX(Production[Resource Produced],MATCH(IslandModel_1000P[[#This Row],[Building]],Production[Building],0)),"")</f>
        <v>Coal</v>
      </c>
      <c r="AK70" s="99">
        <f>IFERROR(IslandModel_1000P[[#This Row],[Quantity]]*INDEX(Production[Production in 1h],MATCH(IslandModel_1000P[[#This Row],[Building]],Production[Building],0))*IslandModel_1000P[[#This Row],[Input Consumption Multiplier]],0)</f>
        <v>0</v>
      </c>
      <c r="AL70" s="115">
        <f>100%</f>
        <v>1</v>
      </c>
      <c r="AM70"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70" s="77" t="str">
        <f>IFERROR(INDEX(Production[Input 1],MATCH(IslandModel_1000P[[#This Row],[Building]],Production[Building],0)),"")</f>
        <v>Land tile</v>
      </c>
      <c r="AO70" s="78"/>
      <c r="AP70"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70"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1712.3333333333333</v>
      </c>
      <c r="AR70"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70" s="35" t="str">
        <f>IFERROR(INDEX(Production[Input 2],MATCH(IslandModel_1000P[[#This Row],[Building]],Production[Building],0)),"")</f>
        <v>Wood</v>
      </c>
      <c r="AT70" s="78"/>
      <c r="AU70"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70"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70"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70" s="35">
        <f>IFERROR(INDEX(Production[Input 3],MATCH(IslandModel_1000P[[#This Row],[Building]],Production[Building],0)),"")</f>
        <v>0</v>
      </c>
      <c r="AY70" s="78"/>
      <c r="AZ70"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70"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70"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70" s="35">
        <f>IFERROR(INDEX(Production[Input 4],MATCH(IslandModel_1000P[[#This Row],[Building]],Production[Building],0)),"")</f>
        <v>0</v>
      </c>
      <c r="BD70" s="78"/>
      <c r="BE70"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70"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70"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70" s="35">
        <f>IFERROR(INDEX(Production[Input 5],MATCH(IslandModel_1000P[[#This Row],[Building]],Production[Building],0)),"")</f>
        <v>0</v>
      </c>
      <c r="BI70" s="78"/>
      <c r="BJ70"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70"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70"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70" s="35">
        <f>IFERROR(INDEX(Production[Input 6],MATCH(IslandModel_1000P[[#This Row],[Building]],Production[Building],0)),"")</f>
        <v>0</v>
      </c>
      <c r="BN70" s="78"/>
      <c r="BO70"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70"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70"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70" s="35">
        <f>IFERROR(INDEX(Production[Input 7],MATCH(IslandModel_1000P[[#This Row],[Building]],Production[Building],0)),"")</f>
        <v>0</v>
      </c>
      <c r="BS70" s="78"/>
      <c r="BT70"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70"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70"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70" s="35">
        <f>IFERROR(INDEX(Production[Input 8],MATCH(IslandModel_1000P[[#This Row],[Building]],Production[Building],0)),"")</f>
        <v>0</v>
      </c>
      <c r="BX70" s="78"/>
      <c r="BY70"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70"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70"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70" s="35">
        <f>IFERROR(INDEX(Production[Input 9],MATCH(IslandModel_1000P[[#This Row],[Building]],Production[Building],0)),"")</f>
        <v>0</v>
      </c>
      <c r="CC70" s="78"/>
      <c r="CD70"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70"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70"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70" s="35">
        <f>IFERROR(INDEX(Production[Input 10],MATCH(IslandModel_1000P[[#This Row],[Building]],Production[Building],0)),"")</f>
        <v>0</v>
      </c>
      <c r="CH70" s="78"/>
      <c r="CI70"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70"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70"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70"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70" s="82" t="str">
        <f>IslandModel_1000P[[#This Row],[Resource Produced]]</f>
        <v>Coal</v>
      </c>
      <c r="CN70" s="42">
        <f>IslandModel_1000P[[#This Row],[Amount produced/h]]</f>
        <v>0</v>
      </c>
      <c r="CO70" s="42" t="str">
        <f>IslandModel_1000P[[#This Row],[Input 1]]</f>
        <v>Land tile</v>
      </c>
      <c r="CP70" s="42">
        <f>-IslandModel_1000P[[#This Row],[Input 1 Consumed]]</f>
        <v>0</v>
      </c>
      <c r="CQ70" s="42" t="str">
        <f>IslandModel_1000P[[#This Row],[Input 2]]</f>
        <v>Wood</v>
      </c>
      <c r="CR70" s="42">
        <f>-IslandModel_1000P[[#This Row],[Input 2 Consumed]]</f>
        <v>0</v>
      </c>
      <c r="CS70" s="42">
        <f>IslandModel_1000P[[#This Row],[Input 3]]</f>
        <v>0</v>
      </c>
      <c r="CT70" s="42">
        <f>-IslandModel_1000P[[#This Row],[Input 3 Consumed]]</f>
        <v>0</v>
      </c>
      <c r="CU70" s="42">
        <f>IslandModel_1000P[[#This Row],[Input 4]]</f>
        <v>0</v>
      </c>
      <c r="CV70" s="42">
        <f>-IslandModel_1000P[[#This Row],[Input 4 Consumed]]</f>
        <v>0</v>
      </c>
      <c r="CW70" s="42">
        <f>IslandModel_1000P[[#This Row],[Input 5]]</f>
        <v>0</v>
      </c>
      <c r="CX70" s="42">
        <f>-IslandModel_1000P[[#This Row],[Input 5 Consumed]]</f>
        <v>0</v>
      </c>
      <c r="CY70" s="42">
        <f>IslandModel_1000P[[#This Row],[Input 6]]</f>
        <v>0</v>
      </c>
      <c r="CZ70" s="42">
        <f>-IslandModel_1000P[[#This Row],[Input 6 Consumed]]</f>
        <v>0</v>
      </c>
      <c r="DA70" s="42">
        <f>IslandModel_1000P[[#This Row],[Input 7]]</f>
        <v>0</v>
      </c>
      <c r="DB70" s="42">
        <f>-IslandModel_1000P[[#This Row],[Input 7 Consumed]]</f>
        <v>0</v>
      </c>
      <c r="DC70" s="42">
        <f>IslandModel_1000P[[#This Row],[Input 8]]</f>
        <v>0</v>
      </c>
      <c r="DD70" s="42">
        <f>-IslandModel_1000P[[#This Row],[Input 8 Consumed]]</f>
        <v>0</v>
      </c>
      <c r="DE70" s="42">
        <f>IslandModel_1000P[[#This Row],[Input 9]]</f>
        <v>0</v>
      </c>
      <c r="DF70" s="42">
        <f>-IslandModel_1000P[[#This Row],[Input 9 Consumed]]</f>
        <v>0</v>
      </c>
      <c r="DG70" s="42">
        <f>IslandModel_1000P[[#This Row],[Input 10]]</f>
        <v>0</v>
      </c>
      <c r="DH70" s="42">
        <f>-IslandModel_1000P[[#This Row],[Input 10 Consumed]]</f>
        <v>0</v>
      </c>
      <c r="DJ70" t="s">
        <v>380</v>
      </c>
      <c r="DK70" s="39">
        <f>SUM(SUMIFS(IslandModel_1000P[Resource 1 Qty],IslandModel_1000P[Resource 1],ResourceAvailable_1000P[[#This Row],[Resource]]))</f>
        <v>0</v>
      </c>
      <c r="DL70"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70" s="39">
        <f>ResourceAvailable_1000P[[#This Row],[Amount Produced]]-ResourceAvailable_1000P[[#This Row],[Amount Consumed]]</f>
        <v>0</v>
      </c>
      <c r="DN70" s="20">
        <f>MAX(0,ResourceAvailable_1000P[[#This Row],[Amount Available for Resident Consumption]]-SUMIFS(ConsumptionModel_1000P[Resource Demand],ConsumptionModel_1000P[Resource],ResourceAvailable_1000P[[#This Row],[Resource]]))</f>
        <v>0</v>
      </c>
    </row>
    <row r="71" spans="2:118" ht="21" x14ac:dyDescent="0.65">
      <c r="AC71" s="103" t="s">
        <v>173</v>
      </c>
      <c r="AD71" s="83">
        <f>ROW()</f>
        <v>71</v>
      </c>
      <c r="AE71" s="74">
        <v>2</v>
      </c>
      <c r="AF71" s="50" t="s">
        <v>168</v>
      </c>
      <c r="AG71" s="18"/>
      <c r="AH71" s="74">
        <v>2</v>
      </c>
      <c r="AI71" s="156">
        <f>IFERROR(IslandModel_1000P[[#This Row],[Quantity]]/IslandModel_1000P[[#This Row],[Target Quantity]],0)</f>
        <v>1</v>
      </c>
      <c r="AJ71" s="61" t="str">
        <f>IFERROR(INDEX(Production[Resource Produced],MATCH(IslandModel_1000P[[#This Row],[Building]],Production[Building],0)),"")</f>
        <v>Gold Ore</v>
      </c>
      <c r="AK71" s="99">
        <f>IFERROR(IslandModel_1000P[[#This Row],[Quantity]]*INDEX(Production[Production in 1h],MATCH(IslandModel_1000P[[#This Row],[Building]],Production[Building],0))*IslandModel_1000P[[#This Row],[Input Consumption Multiplier]],0)</f>
        <v>30</v>
      </c>
      <c r="AL71" s="115">
        <f>100%</f>
        <v>1</v>
      </c>
      <c r="AM71"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71" s="77" t="str">
        <f>IFERROR(INDEX(Production[Input 1],MATCH(IslandModel_1000P[[#This Row],[Building]],Production[Building],0)),"")</f>
        <v>Mountain tile</v>
      </c>
      <c r="AO71" s="78"/>
      <c r="AP71"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v>
      </c>
      <c r="AQ71"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319</v>
      </c>
      <c r="AR71"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v>
      </c>
      <c r="AS71" s="35">
        <f>IFERROR(INDEX(Production[Input 2],MATCH(IslandModel_1000P[[#This Row],[Building]],Production[Building],0)),"")</f>
        <v>0</v>
      </c>
      <c r="AT71" s="78"/>
      <c r="AU71"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71"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71"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71" s="35">
        <f>IFERROR(INDEX(Production[Input 3],MATCH(IslandModel_1000P[[#This Row],[Building]],Production[Building],0)),"")</f>
        <v>0</v>
      </c>
      <c r="AY71" s="78"/>
      <c r="AZ71"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71"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71"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71" s="35">
        <f>IFERROR(INDEX(Production[Input 4],MATCH(IslandModel_1000P[[#This Row],[Building]],Production[Building],0)),"")</f>
        <v>0</v>
      </c>
      <c r="BD71" s="78"/>
      <c r="BE71"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71"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71"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71" s="35">
        <f>IFERROR(INDEX(Production[Input 5],MATCH(IslandModel_1000P[[#This Row],[Building]],Production[Building],0)),"")</f>
        <v>0</v>
      </c>
      <c r="BI71" s="78"/>
      <c r="BJ71"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71"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71"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71" s="35">
        <f>IFERROR(INDEX(Production[Input 6],MATCH(IslandModel_1000P[[#This Row],[Building]],Production[Building],0)),"")</f>
        <v>0</v>
      </c>
      <c r="BN71" s="78"/>
      <c r="BO71"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71"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71"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71" s="35">
        <f>IFERROR(INDEX(Production[Input 7],MATCH(IslandModel_1000P[[#This Row],[Building]],Production[Building],0)),"")</f>
        <v>0</v>
      </c>
      <c r="BS71" s="78"/>
      <c r="BT71"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71"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71"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71" s="35">
        <f>IFERROR(INDEX(Production[Input 8],MATCH(IslandModel_1000P[[#This Row],[Building]],Production[Building],0)),"")</f>
        <v>0</v>
      </c>
      <c r="BX71" s="78"/>
      <c r="BY71"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71"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71"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71" s="35">
        <f>IFERROR(INDEX(Production[Input 9],MATCH(IslandModel_1000P[[#This Row],[Building]],Production[Building],0)),"")</f>
        <v>0</v>
      </c>
      <c r="CC71" s="78"/>
      <c r="CD71"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71"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71"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71" s="35">
        <f>IFERROR(INDEX(Production[Input 10],MATCH(IslandModel_1000P[[#This Row],[Building]],Production[Building],0)),"")</f>
        <v>0</v>
      </c>
      <c r="CH71" s="78"/>
      <c r="CI71"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71"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71"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71"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71" s="82" t="str">
        <f>IslandModel_1000P[[#This Row],[Resource Produced]]</f>
        <v>Gold Ore</v>
      </c>
      <c r="CN71" s="42">
        <f>IslandModel_1000P[[#This Row],[Amount produced/h]]</f>
        <v>30</v>
      </c>
      <c r="CO71" s="42" t="str">
        <f>IslandModel_1000P[[#This Row],[Input 1]]</f>
        <v>Mountain tile</v>
      </c>
      <c r="CP71" s="42">
        <f>-IslandModel_1000P[[#This Row],[Input 1 Consumed]]</f>
        <v>-2</v>
      </c>
      <c r="CQ71" s="42">
        <f>IslandModel_1000P[[#This Row],[Input 2]]</f>
        <v>0</v>
      </c>
      <c r="CR71" s="42">
        <f>-IslandModel_1000P[[#This Row],[Input 2 Consumed]]</f>
        <v>0</v>
      </c>
      <c r="CS71" s="42">
        <f>IslandModel_1000P[[#This Row],[Input 3]]</f>
        <v>0</v>
      </c>
      <c r="CT71" s="42">
        <f>-IslandModel_1000P[[#This Row],[Input 3 Consumed]]</f>
        <v>0</v>
      </c>
      <c r="CU71" s="42">
        <f>IslandModel_1000P[[#This Row],[Input 4]]</f>
        <v>0</v>
      </c>
      <c r="CV71" s="42">
        <f>-IslandModel_1000P[[#This Row],[Input 4 Consumed]]</f>
        <v>0</v>
      </c>
      <c r="CW71" s="42">
        <f>IslandModel_1000P[[#This Row],[Input 5]]</f>
        <v>0</v>
      </c>
      <c r="CX71" s="42">
        <f>-IslandModel_1000P[[#This Row],[Input 5 Consumed]]</f>
        <v>0</v>
      </c>
      <c r="CY71" s="42">
        <f>IslandModel_1000P[[#This Row],[Input 6]]</f>
        <v>0</v>
      </c>
      <c r="CZ71" s="42">
        <f>-IslandModel_1000P[[#This Row],[Input 6 Consumed]]</f>
        <v>0</v>
      </c>
      <c r="DA71" s="42">
        <f>IslandModel_1000P[[#This Row],[Input 7]]</f>
        <v>0</v>
      </c>
      <c r="DB71" s="42">
        <f>-IslandModel_1000P[[#This Row],[Input 7 Consumed]]</f>
        <v>0</v>
      </c>
      <c r="DC71" s="42">
        <f>IslandModel_1000P[[#This Row],[Input 8]]</f>
        <v>0</v>
      </c>
      <c r="DD71" s="42">
        <f>-IslandModel_1000P[[#This Row],[Input 8 Consumed]]</f>
        <v>0</v>
      </c>
      <c r="DE71" s="42">
        <f>IslandModel_1000P[[#This Row],[Input 9]]</f>
        <v>0</v>
      </c>
      <c r="DF71" s="42">
        <f>-IslandModel_1000P[[#This Row],[Input 9 Consumed]]</f>
        <v>0</v>
      </c>
      <c r="DG71" s="42">
        <f>IslandModel_1000P[[#This Row],[Input 10]]</f>
        <v>0</v>
      </c>
      <c r="DH71" s="42">
        <f>-IslandModel_1000P[[#This Row],[Input 10 Consumed]]</f>
        <v>0</v>
      </c>
      <c r="DJ71" s="55" t="s">
        <v>388</v>
      </c>
      <c r="DK71" s="39">
        <f>SUM(SUMIFS(IslandModel_1000P[Resource 1 Qty],IslandModel_1000P[Resource 1],ResourceAvailable_1000P[[#This Row],[Resource]]))</f>
        <v>30</v>
      </c>
      <c r="DL71"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30</v>
      </c>
      <c r="DM71" s="39">
        <f>ResourceAvailable_1000P[[#This Row],[Amount Produced]]-ResourceAvailable_1000P[[#This Row],[Amount Consumed]]</f>
        <v>0</v>
      </c>
      <c r="DN71" s="20">
        <f>MAX(0,ResourceAvailable_1000P[[#This Row],[Amount Available for Resident Consumption]]-SUMIFS(ConsumptionModel_1000P[Resource Demand],ConsumptionModel_1000P[Resource],ResourceAvailable_1000P[[#This Row],[Resource]]))</f>
        <v>0</v>
      </c>
    </row>
    <row r="72" spans="2:118" ht="21" x14ac:dyDescent="0.65">
      <c r="AC72" s="103" t="s">
        <v>173</v>
      </c>
      <c r="AD72" s="83">
        <f>ROW()</f>
        <v>72</v>
      </c>
      <c r="AE72" s="74">
        <v>4</v>
      </c>
      <c r="AF72" s="50" t="s">
        <v>170</v>
      </c>
      <c r="AG72" s="18"/>
      <c r="AH72" s="74">
        <v>4</v>
      </c>
      <c r="AI72" s="156">
        <f>IFERROR(IslandModel_1000P[[#This Row],[Quantity]]/IslandModel_1000P[[#This Row],[Target Quantity]],0)</f>
        <v>1</v>
      </c>
      <c r="AJ72" s="61" t="str">
        <f>IFERROR(INDEX(Production[Resource Produced],MATCH(IslandModel_1000P[[#This Row],[Building]],Production[Building],0)),"")</f>
        <v>Gold Ingot</v>
      </c>
      <c r="AK72" s="99">
        <f>IFERROR(IslandModel_1000P[[#This Row],[Quantity]]*INDEX(Production[Production in 1h],MATCH(IslandModel_1000P[[#This Row],[Building]],Production[Building],0))*IslandModel_1000P[[#This Row],[Input Consumption Multiplier]],0)</f>
        <v>30</v>
      </c>
      <c r="AL72" s="115">
        <f>100%</f>
        <v>1</v>
      </c>
      <c r="AM72"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72" s="77" t="str">
        <f>IFERROR(INDEX(Production[Input 1],MATCH(IslandModel_1000P[[#This Row],[Building]],Production[Building],0)),"")</f>
        <v>Land tile</v>
      </c>
      <c r="AO72" s="78"/>
      <c r="AP72"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4</v>
      </c>
      <c r="AQ72"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1712.3333333333333</v>
      </c>
      <c r="AR72"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4</v>
      </c>
      <c r="AS72" s="35" t="str">
        <f>IFERROR(INDEX(Production[Input 2],MATCH(IslandModel_1000P[[#This Row],[Building]],Production[Building],0)),"")</f>
        <v>Coal</v>
      </c>
      <c r="AT72" s="78"/>
      <c r="AU72"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15</v>
      </c>
      <c r="AV72"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30</v>
      </c>
      <c r="AW72"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15</v>
      </c>
      <c r="AX72" s="35" t="str">
        <f>IFERROR(INDEX(Production[Input 3],MATCH(IslandModel_1000P[[#This Row],[Building]],Production[Building],0)),"")</f>
        <v>Gold Ore</v>
      </c>
      <c r="AY72" s="78"/>
      <c r="AZ72"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30</v>
      </c>
      <c r="BA72"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30</v>
      </c>
      <c r="BB72"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30</v>
      </c>
      <c r="BC72" s="35">
        <f>IFERROR(INDEX(Production[Input 4],MATCH(IslandModel_1000P[[#This Row],[Building]],Production[Building],0)),"")</f>
        <v>0</v>
      </c>
      <c r="BD72" s="78"/>
      <c r="BE72"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72"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72"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72" s="35">
        <f>IFERROR(INDEX(Production[Input 5],MATCH(IslandModel_1000P[[#This Row],[Building]],Production[Building],0)),"")</f>
        <v>0</v>
      </c>
      <c r="BI72" s="78"/>
      <c r="BJ72"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72"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72"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72" s="35">
        <f>IFERROR(INDEX(Production[Input 6],MATCH(IslandModel_1000P[[#This Row],[Building]],Production[Building],0)),"")</f>
        <v>0</v>
      </c>
      <c r="BN72" s="78"/>
      <c r="BO72"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72"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72"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72" s="35">
        <f>IFERROR(INDEX(Production[Input 7],MATCH(IslandModel_1000P[[#This Row],[Building]],Production[Building],0)),"")</f>
        <v>0</v>
      </c>
      <c r="BS72" s="78"/>
      <c r="BT72"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72"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72"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72" s="35">
        <f>IFERROR(INDEX(Production[Input 8],MATCH(IslandModel_1000P[[#This Row],[Building]],Production[Building],0)),"")</f>
        <v>0</v>
      </c>
      <c r="BX72" s="78"/>
      <c r="BY72"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72"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72"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72" s="35">
        <f>IFERROR(INDEX(Production[Input 9],MATCH(IslandModel_1000P[[#This Row],[Building]],Production[Building],0)),"")</f>
        <v>0</v>
      </c>
      <c r="CC72" s="78"/>
      <c r="CD72"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72"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72"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72" s="35">
        <f>IFERROR(INDEX(Production[Input 10],MATCH(IslandModel_1000P[[#This Row],[Building]],Production[Building],0)),"")</f>
        <v>0</v>
      </c>
      <c r="CH72" s="78"/>
      <c r="CI72"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72"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72"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72"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72" s="82" t="str">
        <f>IslandModel_1000P[[#This Row],[Resource Produced]]</f>
        <v>Gold Ingot</v>
      </c>
      <c r="CN72" s="42">
        <f>IslandModel_1000P[[#This Row],[Amount produced/h]]</f>
        <v>30</v>
      </c>
      <c r="CO72" s="42" t="str">
        <f>IslandModel_1000P[[#This Row],[Input 1]]</f>
        <v>Land tile</v>
      </c>
      <c r="CP72" s="42">
        <f>-IslandModel_1000P[[#This Row],[Input 1 Consumed]]</f>
        <v>-4</v>
      </c>
      <c r="CQ72" s="42" t="str">
        <f>IslandModel_1000P[[#This Row],[Input 2]]</f>
        <v>Coal</v>
      </c>
      <c r="CR72" s="42">
        <f>-IslandModel_1000P[[#This Row],[Input 2 Consumed]]</f>
        <v>-15</v>
      </c>
      <c r="CS72" s="42" t="str">
        <f>IslandModel_1000P[[#This Row],[Input 3]]</f>
        <v>Gold Ore</v>
      </c>
      <c r="CT72" s="42">
        <f>-IslandModel_1000P[[#This Row],[Input 3 Consumed]]</f>
        <v>-30</v>
      </c>
      <c r="CU72" s="42">
        <f>IslandModel_1000P[[#This Row],[Input 4]]</f>
        <v>0</v>
      </c>
      <c r="CV72" s="42">
        <f>-IslandModel_1000P[[#This Row],[Input 4 Consumed]]</f>
        <v>0</v>
      </c>
      <c r="CW72" s="42">
        <f>IslandModel_1000P[[#This Row],[Input 5]]</f>
        <v>0</v>
      </c>
      <c r="CX72" s="42">
        <f>-IslandModel_1000P[[#This Row],[Input 5 Consumed]]</f>
        <v>0</v>
      </c>
      <c r="CY72" s="42">
        <f>IslandModel_1000P[[#This Row],[Input 6]]</f>
        <v>0</v>
      </c>
      <c r="CZ72" s="42">
        <f>-IslandModel_1000P[[#This Row],[Input 6 Consumed]]</f>
        <v>0</v>
      </c>
      <c r="DA72" s="42">
        <f>IslandModel_1000P[[#This Row],[Input 7]]</f>
        <v>0</v>
      </c>
      <c r="DB72" s="42">
        <f>-IslandModel_1000P[[#This Row],[Input 7 Consumed]]</f>
        <v>0</v>
      </c>
      <c r="DC72" s="42">
        <f>IslandModel_1000P[[#This Row],[Input 8]]</f>
        <v>0</v>
      </c>
      <c r="DD72" s="42">
        <f>-IslandModel_1000P[[#This Row],[Input 8 Consumed]]</f>
        <v>0</v>
      </c>
      <c r="DE72" s="42">
        <f>IslandModel_1000P[[#This Row],[Input 9]]</f>
        <v>0</v>
      </c>
      <c r="DF72" s="42">
        <f>-IslandModel_1000P[[#This Row],[Input 9 Consumed]]</f>
        <v>0</v>
      </c>
      <c r="DG72" s="42">
        <f>IslandModel_1000P[[#This Row],[Input 10]]</f>
        <v>0</v>
      </c>
      <c r="DH72" s="42">
        <f>-IslandModel_1000P[[#This Row],[Input 10 Consumed]]</f>
        <v>0</v>
      </c>
      <c r="DJ72" s="55" t="s">
        <v>375</v>
      </c>
      <c r="DK72" s="39">
        <f>SUM(SUMIFS(IslandModel_1000P[Resource 1 Qty],IslandModel_1000P[Resource 1],ResourceAvailable_1000P[[#This Row],[Resource]]))</f>
        <v>390</v>
      </c>
      <c r="DL72"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390</v>
      </c>
      <c r="DM72" s="39">
        <f>ResourceAvailable_1000P[[#This Row],[Amount Produced]]-ResourceAvailable_1000P[[#This Row],[Amount Consumed]]</f>
        <v>0</v>
      </c>
      <c r="DN72" s="20">
        <f>MAX(0,ResourceAvailable_1000P[[#This Row],[Amount Available for Resident Consumption]]-SUMIFS(ConsumptionModel_1000P[Resource Demand],ConsumptionModel_1000P[Resource],ResourceAvailable_1000P[[#This Row],[Resource]]))</f>
        <v>0</v>
      </c>
    </row>
    <row r="73" spans="2:118" ht="21" x14ac:dyDescent="0.65">
      <c r="AC73" s="103" t="s">
        <v>173</v>
      </c>
      <c r="AD73" s="83">
        <f>ROW()</f>
        <v>73</v>
      </c>
      <c r="AE73" s="74">
        <v>4</v>
      </c>
      <c r="AF73" s="50" t="s">
        <v>172</v>
      </c>
      <c r="AG73" s="18"/>
      <c r="AH73" s="74">
        <v>4</v>
      </c>
      <c r="AI73" s="156">
        <f>IFERROR(IslandModel_1000P[[#This Row],[Quantity]]/IslandModel_1000P[[#This Row],[Target Quantity]],0)</f>
        <v>1</v>
      </c>
      <c r="AJ73" s="61" t="str">
        <f>IFERROR(INDEX(Production[Resource Produced],MATCH(IslandModel_1000P[[#This Row],[Building]],Production[Building],0)),"")</f>
        <v>Gold Jewelry</v>
      </c>
      <c r="AK73" s="99">
        <f>IFERROR(IslandModel_1000P[[#This Row],[Quantity]]*INDEX(Production[Production in 1h],MATCH(IslandModel_1000P[[#This Row],[Building]],Production[Building],0))*IslandModel_1000P[[#This Row],[Input Consumption Multiplier]],0)</f>
        <v>30</v>
      </c>
      <c r="AL73" s="115">
        <f>100%</f>
        <v>1</v>
      </c>
      <c r="AM73"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73" s="77" t="str">
        <f>IFERROR(INDEX(Production[Input 1],MATCH(IslandModel_1000P[[#This Row],[Building]],Production[Building],0)),"")</f>
        <v>Land tile</v>
      </c>
      <c r="AO73" s="78"/>
      <c r="AP73"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4</v>
      </c>
      <c r="AQ73"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1708.3333333333333</v>
      </c>
      <c r="AR73"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4</v>
      </c>
      <c r="AS73" s="35" t="str">
        <f>IFERROR(INDEX(Production[Input 2],MATCH(IslandModel_1000P[[#This Row],[Building]],Production[Building],0)),"")</f>
        <v>Coal</v>
      </c>
      <c r="AT73" s="78"/>
      <c r="AU73"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15</v>
      </c>
      <c r="AV73"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15</v>
      </c>
      <c r="AW73"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15</v>
      </c>
      <c r="AX73" s="35" t="str">
        <f>IFERROR(INDEX(Production[Input 3],MATCH(IslandModel_1000P[[#This Row],[Building]],Production[Building],0)),"")</f>
        <v>Gold Ingot</v>
      </c>
      <c r="AY73" s="78"/>
      <c r="AZ73"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30</v>
      </c>
      <c r="BA73"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30</v>
      </c>
      <c r="BB73"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30</v>
      </c>
      <c r="BC73" s="35">
        <f>IFERROR(INDEX(Production[Input 4],MATCH(IslandModel_1000P[[#This Row],[Building]],Production[Building],0)),"")</f>
        <v>0</v>
      </c>
      <c r="BD73" s="78"/>
      <c r="BE73"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73"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73"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73" s="35">
        <f>IFERROR(INDEX(Production[Input 5],MATCH(IslandModel_1000P[[#This Row],[Building]],Production[Building],0)),"")</f>
        <v>0</v>
      </c>
      <c r="BI73" s="78"/>
      <c r="BJ73"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73"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73"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73" s="35">
        <f>IFERROR(INDEX(Production[Input 6],MATCH(IslandModel_1000P[[#This Row],[Building]],Production[Building],0)),"")</f>
        <v>0</v>
      </c>
      <c r="BN73" s="78"/>
      <c r="BO73"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73"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73"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73" s="35">
        <f>IFERROR(INDEX(Production[Input 7],MATCH(IslandModel_1000P[[#This Row],[Building]],Production[Building],0)),"")</f>
        <v>0</v>
      </c>
      <c r="BS73" s="78"/>
      <c r="BT73"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73"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73"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73" s="35">
        <f>IFERROR(INDEX(Production[Input 8],MATCH(IslandModel_1000P[[#This Row],[Building]],Production[Building],0)),"")</f>
        <v>0</v>
      </c>
      <c r="BX73" s="78"/>
      <c r="BY73"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73"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73"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73" s="35">
        <f>IFERROR(INDEX(Production[Input 9],MATCH(IslandModel_1000P[[#This Row],[Building]],Production[Building],0)),"")</f>
        <v>0</v>
      </c>
      <c r="CC73" s="78"/>
      <c r="CD73"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73"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73"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73" s="35">
        <f>IFERROR(INDEX(Production[Input 10],MATCH(IslandModel_1000P[[#This Row],[Building]],Production[Building],0)),"")</f>
        <v>0</v>
      </c>
      <c r="CH73" s="78"/>
      <c r="CI73"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73"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73"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73"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73" s="82" t="str">
        <f>IslandModel_1000P[[#This Row],[Resource Produced]]</f>
        <v>Gold Jewelry</v>
      </c>
      <c r="CN73" s="42">
        <f>IslandModel_1000P[[#This Row],[Amount produced/h]]</f>
        <v>30</v>
      </c>
      <c r="CO73" s="42" t="str">
        <f>IslandModel_1000P[[#This Row],[Input 1]]</f>
        <v>Land tile</v>
      </c>
      <c r="CP73" s="42">
        <f>-IslandModel_1000P[[#This Row],[Input 1 Consumed]]</f>
        <v>-4</v>
      </c>
      <c r="CQ73" s="42" t="str">
        <f>IslandModel_1000P[[#This Row],[Input 2]]</f>
        <v>Coal</v>
      </c>
      <c r="CR73" s="42">
        <f>-IslandModel_1000P[[#This Row],[Input 2 Consumed]]</f>
        <v>-15</v>
      </c>
      <c r="CS73" s="42" t="str">
        <f>IslandModel_1000P[[#This Row],[Input 3]]</f>
        <v>Gold Ingot</v>
      </c>
      <c r="CT73" s="42">
        <f>-IslandModel_1000P[[#This Row],[Input 3 Consumed]]</f>
        <v>-30</v>
      </c>
      <c r="CU73" s="42">
        <f>IslandModel_1000P[[#This Row],[Input 4]]</f>
        <v>0</v>
      </c>
      <c r="CV73" s="42">
        <f>-IslandModel_1000P[[#This Row],[Input 4 Consumed]]</f>
        <v>0</v>
      </c>
      <c r="CW73" s="42">
        <f>IslandModel_1000P[[#This Row],[Input 5]]</f>
        <v>0</v>
      </c>
      <c r="CX73" s="42">
        <f>-IslandModel_1000P[[#This Row],[Input 5 Consumed]]</f>
        <v>0</v>
      </c>
      <c r="CY73" s="42">
        <f>IslandModel_1000P[[#This Row],[Input 6]]</f>
        <v>0</v>
      </c>
      <c r="CZ73" s="42">
        <f>-IslandModel_1000P[[#This Row],[Input 6 Consumed]]</f>
        <v>0</v>
      </c>
      <c r="DA73" s="42">
        <f>IslandModel_1000P[[#This Row],[Input 7]]</f>
        <v>0</v>
      </c>
      <c r="DB73" s="42">
        <f>-IslandModel_1000P[[#This Row],[Input 7 Consumed]]</f>
        <v>0</v>
      </c>
      <c r="DC73" s="42">
        <f>IslandModel_1000P[[#This Row],[Input 8]]</f>
        <v>0</v>
      </c>
      <c r="DD73" s="42">
        <f>-IslandModel_1000P[[#This Row],[Input 8 Consumed]]</f>
        <v>0</v>
      </c>
      <c r="DE73" s="42">
        <f>IslandModel_1000P[[#This Row],[Input 9]]</f>
        <v>0</v>
      </c>
      <c r="DF73" s="42">
        <f>-IslandModel_1000P[[#This Row],[Input 9 Consumed]]</f>
        <v>0</v>
      </c>
      <c r="DG73" s="42">
        <f>IslandModel_1000P[[#This Row],[Input 10]]</f>
        <v>0</v>
      </c>
      <c r="DH73" s="42">
        <f>-IslandModel_1000P[[#This Row],[Input 10 Consumed]]</f>
        <v>0</v>
      </c>
      <c r="DJ73" t="s">
        <v>140</v>
      </c>
      <c r="DK73" s="39">
        <f>SUM(SUMIFS(IslandModel_1000P[Resource 1 Qty],IslandModel_1000P[Resource 1],ResourceAvailable_1000P[[#This Row],[Resource]]))</f>
        <v>480</v>
      </c>
      <c r="DL73"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480</v>
      </c>
      <c r="DM73" s="39">
        <f>ResourceAvailable_1000P[[#This Row],[Amount Produced]]-ResourceAvailable_1000P[[#This Row],[Amount Consumed]]</f>
        <v>0</v>
      </c>
      <c r="DN73" s="20">
        <f>MAX(0,ResourceAvailable_1000P[[#This Row],[Amount Available for Resident Consumption]]-SUMIFS(ConsumptionModel_1000P[Resource Demand],ConsumptionModel_1000P[Resource],ResourceAvailable_1000P[[#This Row],[Resource]]))</f>
        <v>0</v>
      </c>
    </row>
    <row r="74" spans="2:118" ht="21" x14ac:dyDescent="0.65">
      <c r="AC74" s="103" t="s">
        <v>152</v>
      </c>
      <c r="AD74" s="83">
        <f>ROW()</f>
        <v>74</v>
      </c>
      <c r="AE74" s="168">
        <f>AE75*8</f>
        <v>96</v>
      </c>
      <c r="AF74" s="72" t="s">
        <v>68</v>
      </c>
      <c r="AG74" s="18"/>
      <c r="AH74" s="168">
        <f>AH75*8</f>
        <v>96</v>
      </c>
      <c r="AI74" s="156">
        <f>IFERROR(IslandModel_1000P[[#This Row],[Quantity]]/IslandModel_1000P[[#This Row],[Target Quantity]],0)</f>
        <v>1</v>
      </c>
      <c r="AJ74" s="61" t="str">
        <f>IFERROR(INDEX(Production[Resource Produced],MATCH(IslandModel_1000P[[#This Row],[Building]],Production[Building],0)),"")</f>
        <v>Linseed Field</v>
      </c>
      <c r="AK74" s="99">
        <f>IFERROR(IslandModel_1000P[[#This Row],[Quantity]]*INDEX(Production[Production in 1h],MATCH(IslandModel_1000P[[#This Row],[Building]],Production[Building],0))*IslandModel_1000P[[#This Row],[Input Consumption Multiplier]],0)</f>
        <v>96</v>
      </c>
      <c r="AL74" s="115">
        <f>100%</f>
        <v>1</v>
      </c>
      <c r="AM74"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74" s="77" t="str">
        <f>IFERROR(INDEX(Production[Input 1],MATCH(IslandModel_1000P[[#This Row],[Building]],Production[Building],0)),"")</f>
        <v>Land tile</v>
      </c>
      <c r="AO74" s="78"/>
      <c r="AP74"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96</v>
      </c>
      <c r="AQ74"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1704.3333333333333</v>
      </c>
      <c r="AR74"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96</v>
      </c>
      <c r="AS74" s="35">
        <f>IFERROR(INDEX(Production[Input 2],MATCH(IslandModel_1000P[[#This Row],[Building]],Production[Building],0)),"")</f>
        <v>0</v>
      </c>
      <c r="AT74" s="78"/>
      <c r="AU74"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74"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74"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74" s="35">
        <f>IFERROR(INDEX(Production[Input 3],MATCH(IslandModel_1000P[[#This Row],[Building]],Production[Building],0)),"")</f>
        <v>0</v>
      </c>
      <c r="AY74" s="78"/>
      <c r="AZ74"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74"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74"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74" s="35">
        <f>IFERROR(INDEX(Production[Input 4],MATCH(IslandModel_1000P[[#This Row],[Building]],Production[Building],0)),"")</f>
        <v>0</v>
      </c>
      <c r="BD74" s="78"/>
      <c r="BE74"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74"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74"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74" s="35">
        <f>IFERROR(INDEX(Production[Input 5],MATCH(IslandModel_1000P[[#This Row],[Building]],Production[Building],0)),"")</f>
        <v>0</v>
      </c>
      <c r="BI74" s="78"/>
      <c r="BJ74"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74"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74"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74" s="35">
        <f>IFERROR(INDEX(Production[Input 6],MATCH(IslandModel_1000P[[#This Row],[Building]],Production[Building],0)),"")</f>
        <v>0</v>
      </c>
      <c r="BN74" s="78"/>
      <c r="BO74"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74"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74"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74" s="35">
        <f>IFERROR(INDEX(Production[Input 7],MATCH(IslandModel_1000P[[#This Row],[Building]],Production[Building],0)),"")</f>
        <v>0</v>
      </c>
      <c r="BS74" s="78"/>
      <c r="BT74"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74"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74"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74" s="35">
        <f>IFERROR(INDEX(Production[Input 8],MATCH(IslandModel_1000P[[#This Row],[Building]],Production[Building],0)),"")</f>
        <v>0</v>
      </c>
      <c r="BX74" s="78"/>
      <c r="BY74"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74"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74"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74" s="35">
        <f>IFERROR(INDEX(Production[Input 9],MATCH(IslandModel_1000P[[#This Row],[Building]],Production[Building],0)),"")</f>
        <v>0</v>
      </c>
      <c r="CC74" s="78"/>
      <c r="CD74"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74"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74"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74" s="35">
        <f>IFERROR(INDEX(Production[Input 10],MATCH(IslandModel_1000P[[#This Row],[Building]],Production[Building],0)),"")</f>
        <v>0</v>
      </c>
      <c r="CH74" s="78"/>
      <c r="CI74"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74"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74"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74"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74" s="82" t="str">
        <f>IslandModel_1000P[[#This Row],[Resource Produced]]</f>
        <v>Linseed Field</v>
      </c>
      <c r="CN74" s="42">
        <f>IslandModel_1000P[[#This Row],[Amount produced/h]]</f>
        <v>96</v>
      </c>
      <c r="CO74" s="42" t="str">
        <f>IslandModel_1000P[[#This Row],[Input 1]]</f>
        <v>Land tile</v>
      </c>
      <c r="CP74" s="42">
        <f>-IslandModel_1000P[[#This Row],[Input 1 Consumed]]</f>
        <v>-96</v>
      </c>
      <c r="CQ74" s="42">
        <f>IslandModel_1000P[[#This Row],[Input 2]]</f>
        <v>0</v>
      </c>
      <c r="CR74" s="42">
        <f>-IslandModel_1000P[[#This Row],[Input 2 Consumed]]</f>
        <v>0</v>
      </c>
      <c r="CS74" s="42">
        <f>IslandModel_1000P[[#This Row],[Input 3]]</f>
        <v>0</v>
      </c>
      <c r="CT74" s="42">
        <f>-IslandModel_1000P[[#This Row],[Input 3 Consumed]]</f>
        <v>0</v>
      </c>
      <c r="CU74" s="42">
        <f>IslandModel_1000P[[#This Row],[Input 4]]</f>
        <v>0</v>
      </c>
      <c r="CV74" s="42">
        <f>-IslandModel_1000P[[#This Row],[Input 4 Consumed]]</f>
        <v>0</v>
      </c>
      <c r="CW74" s="42">
        <f>IslandModel_1000P[[#This Row],[Input 5]]</f>
        <v>0</v>
      </c>
      <c r="CX74" s="42">
        <f>-IslandModel_1000P[[#This Row],[Input 5 Consumed]]</f>
        <v>0</v>
      </c>
      <c r="CY74" s="42">
        <f>IslandModel_1000P[[#This Row],[Input 6]]</f>
        <v>0</v>
      </c>
      <c r="CZ74" s="42">
        <f>-IslandModel_1000P[[#This Row],[Input 6 Consumed]]</f>
        <v>0</v>
      </c>
      <c r="DA74" s="42">
        <f>IslandModel_1000P[[#This Row],[Input 7]]</f>
        <v>0</v>
      </c>
      <c r="DB74" s="42">
        <f>-IslandModel_1000P[[#This Row],[Input 7 Consumed]]</f>
        <v>0</v>
      </c>
      <c r="DC74" s="42">
        <f>IslandModel_1000P[[#This Row],[Input 8]]</f>
        <v>0</v>
      </c>
      <c r="DD74" s="42">
        <f>-IslandModel_1000P[[#This Row],[Input 8 Consumed]]</f>
        <v>0</v>
      </c>
      <c r="DE74" s="42">
        <f>IslandModel_1000P[[#This Row],[Input 9]]</f>
        <v>0</v>
      </c>
      <c r="DF74" s="42">
        <f>-IslandModel_1000P[[#This Row],[Input 9 Consumed]]</f>
        <v>0</v>
      </c>
      <c r="DG74" s="42">
        <f>IslandModel_1000P[[#This Row],[Input 10]]</f>
        <v>0</v>
      </c>
      <c r="DH74" s="42">
        <f>-IslandModel_1000P[[#This Row],[Input 10 Consumed]]</f>
        <v>0</v>
      </c>
      <c r="DJ74" t="s">
        <v>110</v>
      </c>
      <c r="DK74" s="39">
        <f>SUM(SUMIFS(IslandModel_1000P[Resource 1 Qty],IslandModel_1000P[Resource 1],ResourceAvailable_1000P[[#This Row],[Resource]]))</f>
        <v>20</v>
      </c>
      <c r="DL74"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20</v>
      </c>
      <c r="DM74" s="39">
        <f>ResourceAvailable_1000P[[#This Row],[Amount Produced]]-ResourceAvailable_1000P[[#This Row],[Amount Consumed]]</f>
        <v>0</v>
      </c>
      <c r="DN74" s="58">
        <f>MAX(0,ResourceAvailable_1000P[[#This Row],[Amount Available for Resident Consumption]]-SUMIFS(ConsumptionModel_1000P[Resource Demand],ConsumptionModel_1000P[Resource],ResourceAvailable_1000P[[#This Row],[Resource]]))</f>
        <v>0</v>
      </c>
    </row>
    <row r="75" spans="2:118" ht="21" x14ac:dyDescent="0.65">
      <c r="AC75" s="103" t="s">
        <v>152</v>
      </c>
      <c r="AD75" s="83">
        <f>ROW()</f>
        <v>75</v>
      </c>
      <c r="AE75" s="74">
        <v>12</v>
      </c>
      <c r="AF75" s="72" t="s">
        <v>70</v>
      </c>
      <c r="AG75" s="18"/>
      <c r="AH75" s="74">
        <v>12</v>
      </c>
      <c r="AI75" s="156">
        <f>IFERROR(IslandModel_1000P[[#This Row],[Quantity]]/IslandModel_1000P[[#This Row],[Target Quantity]],0)</f>
        <v>1</v>
      </c>
      <c r="AJ75" s="61" t="str">
        <f>IFERROR(INDEX(Production[Resource Produced],MATCH(IslandModel_1000P[[#This Row],[Building]],Production[Building],0)),"")</f>
        <v>Linseed</v>
      </c>
      <c r="AK75" s="99">
        <f>IFERROR(IslandModel_1000P[[#This Row],[Quantity]]*INDEX(Production[Production in 1h],MATCH(IslandModel_1000P[[#This Row],[Building]],Production[Building],0))*IslandModel_1000P[[#This Row],[Input Consumption Multiplier]],0)</f>
        <v>360</v>
      </c>
      <c r="AL75" s="115">
        <f>100%</f>
        <v>1</v>
      </c>
      <c r="AM75"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75" s="77" t="str">
        <f>IFERROR(INDEX(Production[Input 1],MATCH(IslandModel_1000P[[#This Row],[Building]],Production[Building],0)),"")</f>
        <v>Land tile</v>
      </c>
      <c r="AO75" s="78"/>
      <c r="AP75"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12</v>
      </c>
      <c r="AQ75"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1608.3333333333333</v>
      </c>
      <c r="AR75"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12</v>
      </c>
      <c r="AS75" s="35" t="str">
        <f>IFERROR(INDEX(Production[Input 2],MATCH(IslandModel_1000P[[#This Row],[Building]],Production[Building],0)),"")</f>
        <v>Linseed Field</v>
      </c>
      <c r="AT75" s="78"/>
      <c r="AU75"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96</v>
      </c>
      <c r="AV75"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96</v>
      </c>
      <c r="AW75"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96</v>
      </c>
      <c r="AX75" s="35">
        <f>IFERROR(INDEX(Production[Input 3],MATCH(IslandModel_1000P[[#This Row],[Building]],Production[Building],0)),"")</f>
        <v>0</v>
      </c>
      <c r="AY75" s="78"/>
      <c r="AZ75"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75"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75"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75" s="35">
        <f>IFERROR(INDEX(Production[Input 4],MATCH(IslandModel_1000P[[#This Row],[Building]],Production[Building],0)),"")</f>
        <v>0</v>
      </c>
      <c r="BD75" s="78"/>
      <c r="BE75"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75"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75"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75" s="35">
        <f>IFERROR(INDEX(Production[Input 5],MATCH(IslandModel_1000P[[#This Row],[Building]],Production[Building],0)),"")</f>
        <v>0</v>
      </c>
      <c r="BI75" s="78"/>
      <c r="BJ75"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75"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75"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75" s="35">
        <f>IFERROR(INDEX(Production[Input 6],MATCH(IslandModel_1000P[[#This Row],[Building]],Production[Building],0)),"")</f>
        <v>0</v>
      </c>
      <c r="BN75" s="78"/>
      <c r="BO75"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75"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75"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75" s="35">
        <f>IFERROR(INDEX(Production[Input 7],MATCH(IslandModel_1000P[[#This Row],[Building]],Production[Building],0)),"")</f>
        <v>0</v>
      </c>
      <c r="BS75" s="78"/>
      <c r="BT75"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75"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75"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75" s="35">
        <f>IFERROR(INDEX(Production[Input 8],MATCH(IslandModel_1000P[[#This Row],[Building]],Production[Building],0)),"")</f>
        <v>0</v>
      </c>
      <c r="BX75" s="78"/>
      <c r="BY75"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75"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75"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75" s="35">
        <f>IFERROR(INDEX(Production[Input 9],MATCH(IslandModel_1000P[[#This Row],[Building]],Production[Building],0)),"")</f>
        <v>0</v>
      </c>
      <c r="CC75" s="78"/>
      <c r="CD75"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75"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75"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75" s="35">
        <f>IFERROR(INDEX(Production[Input 10],MATCH(IslandModel_1000P[[#This Row],[Building]],Production[Building],0)),"")</f>
        <v>0</v>
      </c>
      <c r="CH75" s="78"/>
      <c r="CI75"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75"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75"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75"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75" s="82" t="str">
        <f>IslandModel_1000P[[#This Row],[Resource Produced]]</f>
        <v>Linseed</v>
      </c>
      <c r="CN75" s="42">
        <f>IslandModel_1000P[[#This Row],[Amount produced/h]]</f>
        <v>360</v>
      </c>
      <c r="CO75" s="42" t="str">
        <f>IslandModel_1000P[[#This Row],[Input 1]]</f>
        <v>Land tile</v>
      </c>
      <c r="CP75" s="42">
        <f>-IslandModel_1000P[[#This Row],[Input 1 Consumed]]</f>
        <v>-12</v>
      </c>
      <c r="CQ75" s="42" t="str">
        <f>IslandModel_1000P[[#This Row],[Input 2]]</f>
        <v>Linseed Field</v>
      </c>
      <c r="CR75" s="42">
        <f>-IslandModel_1000P[[#This Row],[Input 2 Consumed]]</f>
        <v>-96</v>
      </c>
      <c r="CS75" s="42">
        <f>IslandModel_1000P[[#This Row],[Input 3]]</f>
        <v>0</v>
      </c>
      <c r="CT75" s="42">
        <f>-IslandModel_1000P[[#This Row],[Input 3 Consumed]]</f>
        <v>0</v>
      </c>
      <c r="CU75" s="42">
        <f>IslandModel_1000P[[#This Row],[Input 4]]</f>
        <v>0</v>
      </c>
      <c r="CV75" s="42">
        <f>-IslandModel_1000P[[#This Row],[Input 4 Consumed]]</f>
        <v>0</v>
      </c>
      <c r="CW75" s="42">
        <f>IslandModel_1000P[[#This Row],[Input 5]]</f>
        <v>0</v>
      </c>
      <c r="CX75" s="42">
        <f>-IslandModel_1000P[[#This Row],[Input 5 Consumed]]</f>
        <v>0</v>
      </c>
      <c r="CY75" s="42">
        <f>IslandModel_1000P[[#This Row],[Input 6]]</f>
        <v>0</v>
      </c>
      <c r="CZ75" s="42">
        <f>-IslandModel_1000P[[#This Row],[Input 6 Consumed]]</f>
        <v>0</v>
      </c>
      <c r="DA75" s="42">
        <f>IslandModel_1000P[[#This Row],[Input 7]]</f>
        <v>0</v>
      </c>
      <c r="DB75" s="42">
        <f>-IslandModel_1000P[[#This Row],[Input 7 Consumed]]</f>
        <v>0</v>
      </c>
      <c r="DC75" s="42">
        <f>IslandModel_1000P[[#This Row],[Input 8]]</f>
        <v>0</v>
      </c>
      <c r="DD75" s="42">
        <f>-IslandModel_1000P[[#This Row],[Input 8 Consumed]]</f>
        <v>0</v>
      </c>
      <c r="DE75" s="42">
        <f>IslandModel_1000P[[#This Row],[Input 9]]</f>
        <v>0</v>
      </c>
      <c r="DF75" s="42">
        <f>-IslandModel_1000P[[#This Row],[Input 9 Consumed]]</f>
        <v>0</v>
      </c>
      <c r="DG75" s="42">
        <f>IslandModel_1000P[[#This Row],[Input 10]]</f>
        <v>0</v>
      </c>
      <c r="DH75" s="42">
        <f>-IslandModel_1000P[[#This Row],[Input 10 Consumed]]</f>
        <v>0</v>
      </c>
      <c r="DJ75" s="55" t="s">
        <v>79</v>
      </c>
      <c r="DK75" s="39">
        <f>SUM(SUMIFS(IslandModel_1000P[Resource 1 Qty],IslandModel_1000P[Resource 1],ResourceAvailable_1000P[[#This Row],[Resource]]))</f>
        <v>0</v>
      </c>
      <c r="DL75"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75" s="39">
        <f>ResourceAvailable_1000P[[#This Row],[Amount Produced]]-ResourceAvailable_1000P[[#This Row],[Amount Consumed]]</f>
        <v>0</v>
      </c>
      <c r="DN75" s="20">
        <f>MAX(0,ResourceAvailable_1000P[[#This Row],[Amount Available for Resident Consumption]]-SUMIFS(ConsumptionModel_1000P[Resource Demand],ConsumptionModel_1000P[Resource],ResourceAvailable_1000P[[#This Row],[Resource]]))</f>
        <v>0</v>
      </c>
    </row>
    <row r="76" spans="2:118" ht="21" x14ac:dyDescent="0.65">
      <c r="AC76" s="103" t="s">
        <v>152</v>
      </c>
      <c r="AD76" s="83">
        <f>ROW()</f>
        <v>76</v>
      </c>
      <c r="AE76" s="74">
        <v>9</v>
      </c>
      <c r="AF76" s="101" t="s">
        <v>148</v>
      </c>
      <c r="AG76" s="18"/>
      <c r="AH76" s="74">
        <v>9</v>
      </c>
      <c r="AI76" s="156">
        <f>IFERROR(IslandModel_1000P[[#This Row],[Quantity]]/IslandModel_1000P[[#This Row],[Target Quantity]],0)</f>
        <v>1</v>
      </c>
      <c r="AJ76" s="61" t="str">
        <f>IFERROR(INDEX(Production[Resource Produced],MATCH(IslandModel_1000P[[#This Row],[Building]],Production[Building],0)),"")</f>
        <v>Linseed Oil</v>
      </c>
      <c r="AK76" s="99">
        <f>IFERROR(IslandModel_1000P[[#This Row],[Quantity]]*INDEX(Production[Production in 1h],MATCH(IslandModel_1000P[[#This Row],[Building]],Production[Building],0))*IslandModel_1000P[[#This Row],[Input Consumption Multiplier]],0)</f>
        <v>180</v>
      </c>
      <c r="AL76" s="115">
        <f>100%</f>
        <v>1</v>
      </c>
      <c r="AM76"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76" s="77" t="str">
        <f>IFERROR(INDEX(Production[Input 1],MATCH(IslandModel_1000P[[#This Row],[Building]],Production[Building],0)),"")</f>
        <v>Land tile</v>
      </c>
      <c r="AO76" s="78"/>
      <c r="AP76"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9</v>
      </c>
      <c r="AQ76"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1596.3333333333333</v>
      </c>
      <c r="AR76"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9</v>
      </c>
      <c r="AS76" s="35" t="str">
        <f>IFERROR(INDEX(Production[Input 2],MATCH(IslandModel_1000P[[#This Row],[Building]],Production[Building],0)),"")</f>
        <v>Linseed</v>
      </c>
      <c r="AT76" s="78"/>
      <c r="AU76"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360</v>
      </c>
      <c r="AV76"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360</v>
      </c>
      <c r="AW76"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360</v>
      </c>
      <c r="AX76" s="35">
        <f>IFERROR(INDEX(Production[Input 3],MATCH(IslandModel_1000P[[#This Row],[Building]],Production[Building],0)),"")</f>
        <v>0</v>
      </c>
      <c r="AY76" s="78"/>
      <c r="AZ76"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76"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76"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76" s="35">
        <f>IFERROR(INDEX(Production[Input 4],MATCH(IslandModel_1000P[[#This Row],[Building]],Production[Building],0)),"")</f>
        <v>0</v>
      </c>
      <c r="BD76" s="78"/>
      <c r="BE76"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76"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76"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76" s="35">
        <f>IFERROR(INDEX(Production[Input 5],MATCH(IslandModel_1000P[[#This Row],[Building]],Production[Building],0)),"")</f>
        <v>0</v>
      </c>
      <c r="BI76" s="78"/>
      <c r="BJ76"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76"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76"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76" s="35">
        <f>IFERROR(INDEX(Production[Input 6],MATCH(IslandModel_1000P[[#This Row],[Building]],Production[Building],0)),"")</f>
        <v>0</v>
      </c>
      <c r="BN76" s="78"/>
      <c r="BO76"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76"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76"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76" s="35">
        <f>IFERROR(INDEX(Production[Input 7],MATCH(IslandModel_1000P[[#This Row],[Building]],Production[Building],0)),"")</f>
        <v>0</v>
      </c>
      <c r="BS76" s="78"/>
      <c r="BT76"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76"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76"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76" s="35">
        <f>IFERROR(INDEX(Production[Input 8],MATCH(IslandModel_1000P[[#This Row],[Building]],Production[Building],0)),"")</f>
        <v>0</v>
      </c>
      <c r="BX76" s="78"/>
      <c r="BY76"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76"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76"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76" s="35">
        <f>IFERROR(INDEX(Production[Input 9],MATCH(IslandModel_1000P[[#This Row],[Building]],Production[Building],0)),"")</f>
        <v>0</v>
      </c>
      <c r="CC76" s="78"/>
      <c r="CD76"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76"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76"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76" s="35">
        <f>IFERROR(INDEX(Production[Input 10],MATCH(IslandModel_1000P[[#This Row],[Building]],Production[Building],0)),"")</f>
        <v>0</v>
      </c>
      <c r="CH76" s="78"/>
      <c r="CI76"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76"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76"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76"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76" s="82" t="str">
        <f>IslandModel_1000P[[#This Row],[Resource Produced]]</f>
        <v>Linseed Oil</v>
      </c>
      <c r="CN76" s="42">
        <f>IslandModel_1000P[[#This Row],[Amount produced/h]]</f>
        <v>180</v>
      </c>
      <c r="CO76" s="42" t="str">
        <f>IslandModel_1000P[[#This Row],[Input 1]]</f>
        <v>Land tile</v>
      </c>
      <c r="CP76" s="42">
        <f>-IslandModel_1000P[[#This Row],[Input 1 Consumed]]</f>
        <v>-9</v>
      </c>
      <c r="CQ76" s="42" t="str">
        <f>IslandModel_1000P[[#This Row],[Input 2]]</f>
        <v>Linseed</v>
      </c>
      <c r="CR76" s="42">
        <f>-IslandModel_1000P[[#This Row],[Input 2 Consumed]]</f>
        <v>-360</v>
      </c>
      <c r="CS76" s="42">
        <f>IslandModel_1000P[[#This Row],[Input 3]]</f>
        <v>0</v>
      </c>
      <c r="CT76" s="42">
        <f>-IslandModel_1000P[[#This Row],[Input 3 Consumed]]</f>
        <v>0</v>
      </c>
      <c r="CU76" s="42">
        <f>IslandModel_1000P[[#This Row],[Input 4]]</f>
        <v>0</v>
      </c>
      <c r="CV76" s="42">
        <f>-IslandModel_1000P[[#This Row],[Input 4 Consumed]]</f>
        <v>0</v>
      </c>
      <c r="CW76" s="42">
        <f>IslandModel_1000P[[#This Row],[Input 5]]</f>
        <v>0</v>
      </c>
      <c r="CX76" s="42">
        <f>-IslandModel_1000P[[#This Row],[Input 5 Consumed]]</f>
        <v>0</v>
      </c>
      <c r="CY76" s="42">
        <f>IslandModel_1000P[[#This Row],[Input 6]]</f>
        <v>0</v>
      </c>
      <c r="CZ76" s="42">
        <f>-IslandModel_1000P[[#This Row],[Input 6 Consumed]]</f>
        <v>0</v>
      </c>
      <c r="DA76" s="42">
        <f>IslandModel_1000P[[#This Row],[Input 7]]</f>
        <v>0</v>
      </c>
      <c r="DB76" s="42">
        <f>-IslandModel_1000P[[#This Row],[Input 7 Consumed]]</f>
        <v>0</v>
      </c>
      <c r="DC76" s="42">
        <f>IslandModel_1000P[[#This Row],[Input 8]]</f>
        <v>0</v>
      </c>
      <c r="DD76" s="42">
        <f>-IslandModel_1000P[[#This Row],[Input 8 Consumed]]</f>
        <v>0</v>
      </c>
      <c r="DE76" s="42">
        <f>IslandModel_1000P[[#This Row],[Input 9]]</f>
        <v>0</v>
      </c>
      <c r="DF76" s="42">
        <f>-IslandModel_1000P[[#This Row],[Input 9 Consumed]]</f>
        <v>0</v>
      </c>
      <c r="DG76" s="42">
        <f>IslandModel_1000P[[#This Row],[Input 10]]</f>
        <v>0</v>
      </c>
      <c r="DH76" s="42">
        <f>-IslandModel_1000P[[#This Row],[Input 10 Consumed]]</f>
        <v>0</v>
      </c>
      <c r="DJ76" s="55" t="s">
        <v>337</v>
      </c>
      <c r="DK76" s="39">
        <f>SUM(SUMIFS(IslandModel_1000P[Resource 1 Qty],IslandModel_1000P[Resource 1],ResourceAvailable_1000P[[#This Row],[Resource]]))</f>
        <v>2</v>
      </c>
      <c r="DL76"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76" s="39">
        <f>ResourceAvailable_1000P[[#This Row],[Amount Produced]]-ResourceAvailable_1000P[[#This Row],[Amount Consumed]]</f>
        <v>2</v>
      </c>
      <c r="DN76" s="20">
        <f>MAX(0,ResourceAvailable_1000P[[#This Row],[Amount Available for Resident Consumption]]-SUMIFS(ConsumptionModel_1000P[Resource Demand],ConsumptionModel_1000P[Resource],ResourceAvailable_1000P[[#This Row],[Resource]]))</f>
        <v>2</v>
      </c>
    </row>
    <row r="77" spans="2:118" ht="21" x14ac:dyDescent="0.65">
      <c r="AC77" s="103" t="s">
        <v>152</v>
      </c>
      <c r="AD77" s="83">
        <f>ROW()</f>
        <v>77</v>
      </c>
      <c r="AE77" s="74">
        <v>3</v>
      </c>
      <c r="AF77" s="101" t="s">
        <v>151</v>
      </c>
      <c r="AG77" s="18"/>
      <c r="AH77" s="74">
        <v>3</v>
      </c>
      <c r="AI77" s="156">
        <f>IFERROR(IslandModel_1000P[[#This Row],[Quantity]]/IslandModel_1000P[[#This Row],[Target Quantity]],0)</f>
        <v>1</v>
      </c>
      <c r="AJ77" s="61" t="str">
        <f>IFERROR(INDEX(Production[Resource Produced],MATCH(IslandModel_1000P[[#This Row],[Building]],Production[Building],0)),"")</f>
        <v>Medical Care</v>
      </c>
      <c r="AK77" s="99">
        <f>IFERROR(IslandModel_1000P[[#This Row],[Quantity]]*INDEX(Production[Production in 1h],MATCH(IslandModel_1000P[[#This Row],[Building]],Production[Building],0))*IslandModel_1000P[[#This Row],[Input Consumption Multiplier]],0)</f>
        <v>3</v>
      </c>
      <c r="AL77" s="115">
        <f>100%</f>
        <v>1</v>
      </c>
      <c r="AM77"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77" s="77" t="str">
        <f>IFERROR(INDEX(Production[Input 1],MATCH(IslandModel_1000P[[#This Row],[Building]],Production[Building],0)),"")</f>
        <v>Land tile</v>
      </c>
      <c r="AO77" s="78"/>
      <c r="AP77"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3</v>
      </c>
      <c r="AQ77"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1587.3333333333333</v>
      </c>
      <c r="AR77"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3</v>
      </c>
      <c r="AS77" s="35" t="str">
        <f>IFERROR(INDEX(Production[Input 2],MATCH(IslandModel_1000P[[#This Row],[Building]],Production[Building],0)),"")</f>
        <v>Linseed Oil</v>
      </c>
      <c r="AT77" s="78"/>
      <c r="AU77"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180</v>
      </c>
      <c r="AV77"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180</v>
      </c>
      <c r="AW77"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180</v>
      </c>
      <c r="AX77" s="35">
        <f>IFERROR(INDEX(Production[Input 3],MATCH(IslandModel_1000P[[#This Row],[Building]],Production[Building],0)),"")</f>
        <v>0</v>
      </c>
      <c r="AY77" s="78"/>
      <c r="AZ77"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77"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77"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77" s="35">
        <f>IFERROR(INDEX(Production[Input 4],MATCH(IslandModel_1000P[[#This Row],[Building]],Production[Building],0)),"")</f>
        <v>0</v>
      </c>
      <c r="BD77" s="78"/>
      <c r="BE77"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77"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77"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77" s="35">
        <f>IFERROR(INDEX(Production[Input 5],MATCH(IslandModel_1000P[[#This Row],[Building]],Production[Building],0)),"")</f>
        <v>0</v>
      </c>
      <c r="BI77" s="78"/>
      <c r="BJ77"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77"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77"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77" s="35">
        <f>IFERROR(INDEX(Production[Input 6],MATCH(IslandModel_1000P[[#This Row],[Building]],Production[Building],0)),"")</f>
        <v>0</v>
      </c>
      <c r="BN77" s="78"/>
      <c r="BO77"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77"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77"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77" s="35">
        <f>IFERROR(INDEX(Production[Input 7],MATCH(IslandModel_1000P[[#This Row],[Building]],Production[Building],0)),"")</f>
        <v>0</v>
      </c>
      <c r="BS77" s="78"/>
      <c r="BT77"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77"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77"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77" s="35">
        <f>IFERROR(INDEX(Production[Input 8],MATCH(IslandModel_1000P[[#This Row],[Building]],Production[Building],0)),"")</f>
        <v>0</v>
      </c>
      <c r="BX77" s="78"/>
      <c r="BY77"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77"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77"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77" s="35">
        <f>IFERROR(INDEX(Production[Input 9],MATCH(IslandModel_1000P[[#This Row],[Building]],Production[Building],0)),"")</f>
        <v>0</v>
      </c>
      <c r="CC77" s="78"/>
      <c r="CD77"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77"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77"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77" s="35">
        <f>IFERROR(INDEX(Production[Input 10],MATCH(IslandModel_1000P[[#This Row],[Building]],Production[Building],0)),"")</f>
        <v>0</v>
      </c>
      <c r="CH77" s="78"/>
      <c r="CI77"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77"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77"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77"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77" s="82" t="str">
        <f>IslandModel_1000P[[#This Row],[Resource Produced]]</f>
        <v>Medical Care</v>
      </c>
      <c r="CN77" s="42">
        <f>IslandModel_1000P[[#This Row],[Amount produced/h]]</f>
        <v>3</v>
      </c>
      <c r="CO77" s="42" t="str">
        <f>IslandModel_1000P[[#This Row],[Input 1]]</f>
        <v>Land tile</v>
      </c>
      <c r="CP77" s="42">
        <f>-IslandModel_1000P[[#This Row],[Input 1 Consumed]]</f>
        <v>-3</v>
      </c>
      <c r="CQ77" s="42" t="str">
        <f>IslandModel_1000P[[#This Row],[Input 2]]</f>
        <v>Linseed Oil</v>
      </c>
      <c r="CR77" s="42">
        <f>-IslandModel_1000P[[#This Row],[Input 2 Consumed]]</f>
        <v>-180</v>
      </c>
      <c r="CS77" s="42">
        <f>IslandModel_1000P[[#This Row],[Input 3]]</f>
        <v>0</v>
      </c>
      <c r="CT77" s="42">
        <f>-IslandModel_1000P[[#This Row],[Input 3 Consumed]]</f>
        <v>0</v>
      </c>
      <c r="CU77" s="42">
        <f>IslandModel_1000P[[#This Row],[Input 4]]</f>
        <v>0</v>
      </c>
      <c r="CV77" s="42">
        <f>-IslandModel_1000P[[#This Row],[Input 4 Consumed]]</f>
        <v>0</v>
      </c>
      <c r="CW77" s="42">
        <f>IslandModel_1000P[[#This Row],[Input 5]]</f>
        <v>0</v>
      </c>
      <c r="CX77" s="42">
        <f>-IslandModel_1000P[[#This Row],[Input 5 Consumed]]</f>
        <v>0</v>
      </c>
      <c r="CY77" s="42">
        <f>IslandModel_1000P[[#This Row],[Input 6]]</f>
        <v>0</v>
      </c>
      <c r="CZ77" s="42">
        <f>-IslandModel_1000P[[#This Row],[Input 6 Consumed]]</f>
        <v>0</v>
      </c>
      <c r="DA77" s="42">
        <f>IslandModel_1000P[[#This Row],[Input 7]]</f>
        <v>0</v>
      </c>
      <c r="DB77" s="42">
        <f>-IslandModel_1000P[[#This Row],[Input 7 Consumed]]</f>
        <v>0</v>
      </c>
      <c r="DC77" s="42">
        <f>IslandModel_1000P[[#This Row],[Input 8]]</f>
        <v>0</v>
      </c>
      <c r="DD77" s="42">
        <f>-IslandModel_1000P[[#This Row],[Input 8 Consumed]]</f>
        <v>0</v>
      </c>
      <c r="DE77" s="42">
        <f>IslandModel_1000P[[#This Row],[Input 9]]</f>
        <v>0</v>
      </c>
      <c r="DF77" s="42">
        <f>-IslandModel_1000P[[#This Row],[Input 9 Consumed]]</f>
        <v>0</v>
      </c>
      <c r="DG77" s="42">
        <f>IslandModel_1000P[[#This Row],[Input 10]]</f>
        <v>0</v>
      </c>
      <c r="DH77" s="42">
        <f>-IslandModel_1000P[[#This Row],[Input 10 Consumed]]</f>
        <v>0</v>
      </c>
      <c r="DJ77" t="s">
        <v>156</v>
      </c>
      <c r="DK77" s="39">
        <f>SUM(SUMIFS(IslandModel_1000P[Resource 1 Qty],IslandModel_1000P[Resource 1],ResourceAvailable_1000P[[#This Row],[Resource]]))</f>
        <v>97.5</v>
      </c>
      <c r="DL77"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97.5</v>
      </c>
      <c r="DM77" s="39">
        <f>ResourceAvailable_1000P[[#This Row],[Amount Produced]]-ResourceAvailable_1000P[[#This Row],[Amount Consumed]]</f>
        <v>0</v>
      </c>
      <c r="DN77" s="20">
        <f>MAX(0,ResourceAvailable_1000P[[#This Row],[Amount Available for Resident Consumption]]-SUMIFS(ConsumptionModel_1000P[Resource Demand],ConsumptionModel_1000P[Resource],ResourceAvailable_1000P[[#This Row],[Resource]]))</f>
        <v>0</v>
      </c>
    </row>
    <row r="78" spans="2:118" ht="21" x14ac:dyDescent="0.65">
      <c r="AC78" s="103" t="s">
        <v>337</v>
      </c>
      <c r="AD78" s="83">
        <f>ROW()</f>
        <v>78</v>
      </c>
      <c r="AE78" s="74">
        <v>2</v>
      </c>
      <c r="AF78" s="72" t="s">
        <v>336</v>
      </c>
      <c r="AG78" s="18"/>
      <c r="AH78" s="74">
        <v>2</v>
      </c>
      <c r="AI78" s="156">
        <f>IFERROR(IslandModel_1000P[[#This Row],[Quantity]]/IslandModel_1000P[[#This Row],[Target Quantity]],0)</f>
        <v>1</v>
      </c>
      <c r="AJ78" s="61" t="str">
        <f>IFERROR(INDEX(Production[Resource Produced],MATCH(IslandModel_1000P[[#This Row],[Building]],Production[Building],0)),"")</f>
        <v>Hygiene</v>
      </c>
      <c r="AK78" s="99">
        <f>IFERROR(IslandModel_1000P[[#This Row],[Quantity]]*INDEX(Production[Production in 1h],MATCH(IslandModel_1000P[[#This Row],[Building]],Production[Building],0))*IslandModel_1000P[[#This Row],[Input Consumption Multiplier]],0)</f>
        <v>2</v>
      </c>
      <c r="AL78" s="115">
        <f>100%</f>
        <v>1</v>
      </c>
      <c r="AM78"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78" s="77" t="str">
        <f>IFERROR(INDEX(Production[Input 1],MATCH(IslandModel_1000P[[#This Row],[Building]],Production[Building],0)),"")</f>
        <v>Land tile</v>
      </c>
      <c r="AO78" s="78"/>
      <c r="AP78"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v>
      </c>
      <c r="AQ78"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1584.3333333333333</v>
      </c>
      <c r="AR78"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v>
      </c>
      <c r="AS78" s="35">
        <f>IFERROR(INDEX(Production[Input 2],MATCH(IslandModel_1000P[[#This Row],[Building]],Production[Building],0)),"")</f>
        <v>0</v>
      </c>
      <c r="AT78" s="78"/>
      <c r="AU78"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78"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78"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78" s="35">
        <f>IFERROR(INDEX(Production[Input 3],MATCH(IslandModel_1000P[[#This Row],[Building]],Production[Building],0)),"")</f>
        <v>0</v>
      </c>
      <c r="AY78" s="78"/>
      <c r="AZ78"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78"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78"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78" s="35">
        <f>IFERROR(INDEX(Production[Input 4],MATCH(IslandModel_1000P[[#This Row],[Building]],Production[Building],0)),"")</f>
        <v>0</v>
      </c>
      <c r="BD78" s="78"/>
      <c r="BE78"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78"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78"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78" s="35">
        <f>IFERROR(INDEX(Production[Input 5],MATCH(IslandModel_1000P[[#This Row],[Building]],Production[Building],0)),"")</f>
        <v>0</v>
      </c>
      <c r="BI78" s="78"/>
      <c r="BJ78"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78"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78"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78" s="35">
        <f>IFERROR(INDEX(Production[Input 6],MATCH(IslandModel_1000P[[#This Row],[Building]],Production[Building],0)),"")</f>
        <v>0</v>
      </c>
      <c r="BN78" s="78"/>
      <c r="BO78"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78"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78"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78" s="35">
        <f>IFERROR(INDEX(Production[Input 7],MATCH(IslandModel_1000P[[#This Row],[Building]],Production[Building],0)),"")</f>
        <v>0</v>
      </c>
      <c r="BS78" s="78"/>
      <c r="BT78"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78"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78"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78" s="35">
        <f>IFERROR(INDEX(Production[Input 8],MATCH(IslandModel_1000P[[#This Row],[Building]],Production[Building],0)),"")</f>
        <v>0</v>
      </c>
      <c r="BX78" s="78"/>
      <c r="BY78"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78"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78"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78" s="35">
        <f>IFERROR(INDEX(Production[Input 9],MATCH(IslandModel_1000P[[#This Row],[Building]],Production[Building],0)),"")</f>
        <v>0</v>
      </c>
      <c r="CC78" s="78"/>
      <c r="CD78"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78"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78"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78" s="35">
        <f>IFERROR(INDEX(Production[Input 10],MATCH(IslandModel_1000P[[#This Row],[Building]],Production[Building],0)),"")</f>
        <v>0</v>
      </c>
      <c r="CH78" s="78"/>
      <c r="CI78"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78"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78"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78"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78" s="82" t="str">
        <f>IslandModel_1000P[[#This Row],[Resource Produced]]</f>
        <v>Hygiene</v>
      </c>
      <c r="CN78" s="42">
        <f>IslandModel_1000P[[#This Row],[Amount produced/h]]</f>
        <v>2</v>
      </c>
      <c r="CO78" s="42" t="str">
        <f>IslandModel_1000P[[#This Row],[Input 1]]</f>
        <v>Land tile</v>
      </c>
      <c r="CP78" s="42">
        <f>-IslandModel_1000P[[#This Row],[Input 1 Consumed]]</f>
        <v>-2</v>
      </c>
      <c r="CQ78" s="42">
        <f>IslandModel_1000P[[#This Row],[Input 2]]</f>
        <v>0</v>
      </c>
      <c r="CR78" s="42">
        <f>-IslandModel_1000P[[#This Row],[Input 2 Consumed]]</f>
        <v>0</v>
      </c>
      <c r="CS78" s="42">
        <f>IslandModel_1000P[[#This Row],[Input 3]]</f>
        <v>0</v>
      </c>
      <c r="CT78" s="42">
        <f>-IslandModel_1000P[[#This Row],[Input 3 Consumed]]</f>
        <v>0</v>
      </c>
      <c r="CU78" s="42">
        <f>IslandModel_1000P[[#This Row],[Input 4]]</f>
        <v>0</v>
      </c>
      <c r="CV78" s="42">
        <f>-IslandModel_1000P[[#This Row],[Input 4 Consumed]]</f>
        <v>0</v>
      </c>
      <c r="CW78" s="42">
        <f>IslandModel_1000P[[#This Row],[Input 5]]</f>
        <v>0</v>
      </c>
      <c r="CX78" s="42">
        <f>-IslandModel_1000P[[#This Row],[Input 5 Consumed]]</f>
        <v>0</v>
      </c>
      <c r="CY78" s="42">
        <f>IslandModel_1000P[[#This Row],[Input 6]]</f>
        <v>0</v>
      </c>
      <c r="CZ78" s="42">
        <f>-IslandModel_1000P[[#This Row],[Input 6 Consumed]]</f>
        <v>0</v>
      </c>
      <c r="DA78" s="42">
        <f>IslandModel_1000P[[#This Row],[Input 7]]</f>
        <v>0</v>
      </c>
      <c r="DB78" s="42">
        <f>-IslandModel_1000P[[#This Row],[Input 7 Consumed]]</f>
        <v>0</v>
      </c>
      <c r="DC78" s="42">
        <f>IslandModel_1000P[[#This Row],[Input 8]]</f>
        <v>0</v>
      </c>
      <c r="DD78" s="42">
        <f>-IslandModel_1000P[[#This Row],[Input 8 Consumed]]</f>
        <v>0</v>
      </c>
      <c r="DE78" s="42">
        <f>IslandModel_1000P[[#This Row],[Input 9]]</f>
        <v>0</v>
      </c>
      <c r="DF78" s="42">
        <f>-IslandModel_1000P[[#This Row],[Input 9 Consumed]]</f>
        <v>0</v>
      </c>
      <c r="DG78" s="42">
        <f>IslandModel_1000P[[#This Row],[Input 10]]</f>
        <v>0</v>
      </c>
      <c r="DH78" s="42">
        <f>-IslandModel_1000P[[#This Row],[Input 10 Consumed]]</f>
        <v>0</v>
      </c>
      <c r="DJ78" t="s">
        <v>154</v>
      </c>
      <c r="DK78" s="39">
        <f>SUM(SUMIFS(IslandModel_1000P[Resource 1 Qty],IslandModel_1000P[Resource 1],ResourceAvailable_1000P[[#This Row],[Resource]]))</f>
        <v>105</v>
      </c>
      <c r="DL78"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97.5</v>
      </c>
      <c r="DM78" s="39">
        <f>ResourceAvailable_1000P[[#This Row],[Amount Produced]]-ResourceAvailable_1000P[[#This Row],[Amount Consumed]]</f>
        <v>7.5</v>
      </c>
      <c r="DN78" s="20">
        <f>MAX(0,ResourceAvailable_1000P[[#This Row],[Amount Available for Resident Consumption]]-SUMIFS(ConsumptionModel_1000P[Resource Demand],ConsumptionModel_1000P[Resource],ResourceAvailable_1000P[[#This Row],[Resource]]))</f>
        <v>7.5</v>
      </c>
    </row>
    <row r="79" spans="2:118" ht="21" x14ac:dyDescent="0.65">
      <c r="AC79" s="103" t="s">
        <v>372</v>
      </c>
      <c r="AD79" s="83">
        <f>ROW()</f>
        <v>79</v>
      </c>
      <c r="AE79" s="74">
        <v>131</v>
      </c>
      <c r="AF79" s="101" t="s">
        <v>422</v>
      </c>
      <c r="AG79" s="18"/>
      <c r="AH79" s="74">
        <v>131</v>
      </c>
      <c r="AI79" s="156">
        <f>IFERROR(IslandModel_1000P[[#This Row],[Quantity]]/IslandModel_1000P[[#This Row],[Target Quantity]],0)</f>
        <v>1</v>
      </c>
      <c r="AJ79" s="61" t="str">
        <f>IFERROR(INDEX(Production[Resource Produced],MATCH(IslandModel_1000P[[#This Row],[Building]],Production[Building],0)),"")</f>
        <v>Mulberry Trees</v>
      </c>
      <c r="AK79" s="99">
        <f>IFERROR(IslandModel_1000P[[#This Row],[Quantity]]*INDEX(Production[Production in 1h],MATCH(IslandModel_1000P[[#This Row],[Building]],Production[Building],0))*IslandModel_1000P[[#This Row],[Input Consumption Multiplier]],0)</f>
        <v>131</v>
      </c>
      <c r="AL79" s="115">
        <f>100%</f>
        <v>1</v>
      </c>
      <c r="AM79"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79" s="77" t="str">
        <f>IFERROR(INDEX(Production[Input 1],MATCH(IslandModel_1000P[[#This Row],[Building]],Production[Building],0)),"")</f>
        <v>Land tile</v>
      </c>
      <c r="AO79" s="78"/>
      <c r="AP79"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131</v>
      </c>
      <c r="AQ79"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1582.3333333333333</v>
      </c>
      <c r="AR79"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131</v>
      </c>
      <c r="AS79" s="35">
        <f>IFERROR(INDEX(Production[Input 2],MATCH(IslandModel_1000P[[#This Row],[Building]],Production[Building],0)),"")</f>
        <v>0</v>
      </c>
      <c r="AT79" s="78"/>
      <c r="AU79"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79"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79"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79" s="35">
        <f>IFERROR(INDEX(Production[Input 3],MATCH(IslandModel_1000P[[#This Row],[Building]],Production[Building],0)),"")</f>
        <v>0</v>
      </c>
      <c r="AY79" s="78"/>
      <c r="AZ79"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79"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79"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79" s="35">
        <f>IFERROR(INDEX(Production[Input 4],MATCH(IslandModel_1000P[[#This Row],[Building]],Production[Building],0)),"")</f>
        <v>0</v>
      </c>
      <c r="BD79" s="78"/>
      <c r="BE79"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79"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79"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79" s="35">
        <f>IFERROR(INDEX(Production[Input 5],MATCH(IslandModel_1000P[[#This Row],[Building]],Production[Building],0)),"")</f>
        <v>0</v>
      </c>
      <c r="BI79" s="78"/>
      <c r="BJ79"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79"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79"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79" s="35">
        <f>IFERROR(INDEX(Production[Input 6],MATCH(IslandModel_1000P[[#This Row],[Building]],Production[Building],0)),"")</f>
        <v>0</v>
      </c>
      <c r="BN79" s="78"/>
      <c r="BO79"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79"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79"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79" s="35">
        <f>IFERROR(INDEX(Production[Input 7],MATCH(IslandModel_1000P[[#This Row],[Building]],Production[Building],0)),"")</f>
        <v>0</v>
      </c>
      <c r="BS79" s="78"/>
      <c r="BT79"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79"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79"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79" s="35">
        <f>IFERROR(INDEX(Production[Input 8],MATCH(IslandModel_1000P[[#This Row],[Building]],Production[Building],0)),"")</f>
        <v>0</v>
      </c>
      <c r="BX79" s="78"/>
      <c r="BY79"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79"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79"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79" s="35">
        <f>IFERROR(INDEX(Production[Input 9],MATCH(IslandModel_1000P[[#This Row],[Building]],Production[Building],0)),"")</f>
        <v>0</v>
      </c>
      <c r="CC79" s="78"/>
      <c r="CD79"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79"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79"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79" s="35">
        <f>IFERROR(INDEX(Production[Input 10],MATCH(IslandModel_1000P[[#This Row],[Building]],Production[Building],0)),"")</f>
        <v>0</v>
      </c>
      <c r="CH79" s="78"/>
      <c r="CI79"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79"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79"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79"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79" s="82" t="str">
        <f>IslandModel_1000P[[#This Row],[Resource Produced]]</f>
        <v>Mulberry Trees</v>
      </c>
      <c r="CN79" s="42">
        <f>IslandModel_1000P[[#This Row],[Amount produced/h]]</f>
        <v>131</v>
      </c>
      <c r="CO79" s="42" t="str">
        <f>IslandModel_1000P[[#This Row],[Input 1]]</f>
        <v>Land tile</v>
      </c>
      <c r="CP79" s="42">
        <f>-IslandModel_1000P[[#This Row],[Input 1 Consumed]]</f>
        <v>-131</v>
      </c>
      <c r="CQ79" s="42">
        <f>IslandModel_1000P[[#This Row],[Input 2]]</f>
        <v>0</v>
      </c>
      <c r="CR79" s="42">
        <f>-IslandModel_1000P[[#This Row],[Input 2 Consumed]]</f>
        <v>0</v>
      </c>
      <c r="CS79" s="42">
        <f>IslandModel_1000P[[#This Row],[Input 3]]</f>
        <v>0</v>
      </c>
      <c r="CT79" s="42">
        <f>-IslandModel_1000P[[#This Row],[Input 3 Consumed]]</f>
        <v>0</v>
      </c>
      <c r="CU79" s="42">
        <f>IslandModel_1000P[[#This Row],[Input 4]]</f>
        <v>0</v>
      </c>
      <c r="CV79" s="42">
        <f>-IslandModel_1000P[[#This Row],[Input 4 Consumed]]</f>
        <v>0</v>
      </c>
      <c r="CW79" s="42">
        <f>IslandModel_1000P[[#This Row],[Input 5]]</f>
        <v>0</v>
      </c>
      <c r="CX79" s="42">
        <f>-IslandModel_1000P[[#This Row],[Input 5 Consumed]]</f>
        <v>0</v>
      </c>
      <c r="CY79" s="42">
        <f>IslandModel_1000P[[#This Row],[Input 6]]</f>
        <v>0</v>
      </c>
      <c r="CZ79" s="42">
        <f>-IslandModel_1000P[[#This Row],[Input 6 Consumed]]</f>
        <v>0</v>
      </c>
      <c r="DA79" s="42">
        <f>IslandModel_1000P[[#This Row],[Input 7]]</f>
        <v>0</v>
      </c>
      <c r="DB79" s="42">
        <f>-IslandModel_1000P[[#This Row],[Input 7 Consumed]]</f>
        <v>0</v>
      </c>
      <c r="DC79" s="42">
        <f>IslandModel_1000P[[#This Row],[Input 8]]</f>
        <v>0</v>
      </c>
      <c r="DD79" s="42">
        <f>-IslandModel_1000P[[#This Row],[Input 8 Consumed]]</f>
        <v>0</v>
      </c>
      <c r="DE79" s="42">
        <f>IslandModel_1000P[[#This Row],[Input 9]]</f>
        <v>0</v>
      </c>
      <c r="DF79" s="42">
        <f>-IslandModel_1000P[[#This Row],[Input 9 Consumed]]</f>
        <v>0</v>
      </c>
      <c r="DG79" s="42">
        <f>IslandModel_1000P[[#This Row],[Input 10]]</f>
        <v>0</v>
      </c>
      <c r="DH79" s="42">
        <f>-IslandModel_1000P[[#This Row],[Input 10 Consumed]]</f>
        <v>0</v>
      </c>
      <c r="DJ79" t="s">
        <v>159</v>
      </c>
      <c r="DK79" s="39">
        <f>SUM(SUMIFS(IslandModel_1000P[Resource 1 Qty],IslandModel_1000P[Resource 1],ResourceAvailable_1000P[[#This Row],[Resource]]))</f>
        <v>0</v>
      </c>
      <c r="DL79"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79" s="39">
        <f>ResourceAvailable_1000P[[#This Row],[Amount Produced]]-ResourceAvailable_1000P[[#This Row],[Amount Consumed]]</f>
        <v>0</v>
      </c>
      <c r="DN79" s="20">
        <f>MAX(0,ResourceAvailable_1000P[[#This Row],[Amount Available for Resident Consumption]]-SUMIFS(ConsumptionModel_1000P[Resource Demand],ConsumptionModel_1000P[Resource],ResourceAvailable_1000P[[#This Row],[Resource]]))</f>
        <v>0</v>
      </c>
    </row>
    <row r="80" spans="2:118" ht="30" x14ac:dyDescent="0.65">
      <c r="AC80" s="103" t="s">
        <v>372</v>
      </c>
      <c r="AD80" s="83">
        <f>ROW()</f>
        <v>80</v>
      </c>
      <c r="AE80" s="74">
        <v>17</v>
      </c>
      <c r="AF80" s="101" t="s">
        <v>416</v>
      </c>
      <c r="AG80" s="18"/>
      <c r="AH80" s="74">
        <v>17</v>
      </c>
      <c r="AI80" s="156">
        <f>IFERROR(IslandModel_1000P[[#This Row],[Quantity]]/IslandModel_1000P[[#This Row],[Target Quantity]],0)</f>
        <v>1</v>
      </c>
      <c r="AJ80" s="61" t="str">
        <f>IFERROR(INDEX(Production[Resource Produced],MATCH(IslandModel_1000P[[#This Row],[Building]],Production[Building],0)),"")</f>
        <v>Silk</v>
      </c>
      <c r="AK80" s="99">
        <f>IFERROR(IslandModel_1000P[[#This Row],[Quantity]]*INDEX(Production[Production in 1h],MATCH(IslandModel_1000P[[#This Row],[Building]],Production[Building],0))*IslandModel_1000P[[#This Row],[Input Consumption Multiplier]],0)</f>
        <v>491.25</v>
      </c>
      <c r="AL80" s="115">
        <f>100%</f>
        <v>1</v>
      </c>
      <c r="AM80"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Mulberry Trees: 131/136</v>
      </c>
      <c r="AN80" s="77" t="str">
        <f>IFERROR(INDEX(Production[Input 1],MATCH(IslandModel_1000P[[#This Row],[Building]],Production[Building],0)),"")</f>
        <v>Land tile</v>
      </c>
      <c r="AO80" s="78"/>
      <c r="AP80"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17</v>
      </c>
      <c r="AQ80"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1451.3333333333333</v>
      </c>
      <c r="AR80"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16.375</v>
      </c>
      <c r="AS80" s="35" t="str">
        <f>IFERROR(INDEX(Production[Input 2],MATCH(IslandModel_1000P[[#This Row],[Building]],Production[Building],0)),"")</f>
        <v>Mulberry Trees</v>
      </c>
      <c r="AT80" s="78"/>
      <c r="AU80"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136</v>
      </c>
      <c r="AV80"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131</v>
      </c>
      <c r="AW80"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131</v>
      </c>
      <c r="AX80" s="35">
        <f>IFERROR(INDEX(Production[Input 3],MATCH(IslandModel_1000P[[#This Row],[Building]],Production[Building],0)),"")</f>
        <v>0</v>
      </c>
      <c r="AY80" s="78"/>
      <c r="AZ80"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80"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80"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80" s="35">
        <f>IFERROR(INDEX(Production[Input 4],MATCH(IslandModel_1000P[[#This Row],[Building]],Production[Building],0)),"")</f>
        <v>0</v>
      </c>
      <c r="BD80" s="78"/>
      <c r="BE80"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80"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80"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80" s="35">
        <f>IFERROR(INDEX(Production[Input 5],MATCH(IslandModel_1000P[[#This Row],[Building]],Production[Building],0)),"")</f>
        <v>0</v>
      </c>
      <c r="BI80" s="78"/>
      <c r="BJ80"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80"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80"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80" s="35">
        <f>IFERROR(INDEX(Production[Input 6],MATCH(IslandModel_1000P[[#This Row],[Building]],Production[Building],0)),"")</f>
        <v>0</v>
      </c>
      <c r="BN80" s="78"/>
      <c r="BO80"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80"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80"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80" s="35">
        <f>IFERROR(INDEX(Production[Input 7],MATCH(IslandModel_1000P[[#This Row],[Building]],Production[Building],0)),"")</f>
        <v>0</v>
      </c>
      <c r="BS80" s="78"/>
      <c r="BT80"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80"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80"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80" s="35">
        <f>IFERROR(INDEX(Production[Input 8],MATCH(IslandModel_1000P[[#This Row],[Building]],Production[Building],0)),"")</f>
        <v>0</v>
      </c>
      <c r="BX80" s="78"/>
      <c r="BY80"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80"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80"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80" s="35">
        <f>IFERROR(INDEX(Production[Input 9],MATCH(IslandModel_1000P[[#This Row],[Building]],Production[Building],0)),"")</f>
        <v>0</v>
      </c>
      <c r="CC80" s="78"/>
      <c r="CD80"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80"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80"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80" s="35">
        <f>IFERROR(INDEX(Production[Input 10],MATCH(IslandModel_1000P[[#This Row],[Building]],Production[Building],0)),"")</f>
        <v>0</v>
      </c>
      <c r="CH80" s="78"/>
      <c r="CI80"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80"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80"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80"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0.96323529411764708</v>
      </c>
      <c r="CM80" s="82" t="str">
        <f>IslandModel_1000P[[#This Row],[Resource Produced]]</f>
        <v>Silk</v>
      </c>
      <c r="CN80" s="42">
        <f>IslandModel_1000P[[#This Row],[Amount produced/h]]</f>
        <v>491.25</v>
      </c>
      <c r="CO80" s="42" t="str">
        <f>IslandModel_1000P[[#This Row],[Input 1]]</f>
        <v>Land tile</v>
      </c>
      <c r="CP80" s="42">
        <f>-IslandModel_1000P[[#This Row],[Input 1 Consumed]]</f>
        <v>-16.375</v>
      </c>
      <c r="CQ80" s="42" t="str">
        <f>IslandModel_1000P[[#This Row],[Input 2]]</f>
        <v>Mulberry Trees</v>
      </c>
      <c r="CR80" s="42">
        <f>-IslandModel_1000P[[#This Row],[Input 2 Consumed]]</f>
        <v>-131</v>
      </c>
      <c r="CS80" s="42">
        <f>IslandModel_1000P[[#This Row],[Input 3]]</f>
        <v>0</v>
      </c>
      <c r="CT80" s="42">
        <f>-IslandModel_1000P[[#This Row],[Input 3 Consumed]]</f>
        <v>0</v>
      </c>
      <c r="CU80" s="42">
        <f>IslandModel_1000P[[#This Row],[Input 4]]</f>
        <v>0</v>
      </c>
      <c r="CV80" s="42">
        <f>-IslandModel_1000P[[#This Row],[Input 4 Consumed]]</f>
        <v>0</v>
      </c>
      <c r="CW80" s="42">
        <f>IslandModel_1000P[[#This Row],[Input 5]]</f>
        <v>0</v>
      </c>
      <c r="CX80" s="42">
        <f>-IslandModel_1000P[[#This Row],[Input 5 Consumed]]</f>
        <v>0</v>
      </c>
      <c r="CY80" s="42">
        <f>IslandModel_1000P[[#This Row],[Input 6]]</f>
        <v>0</v>
      </c>
      <c r="CZ80" s="42">
        <f>-IslandModel_1000P[[#This Row],[Input 6 Consumed]]</f>
        <v>0</v>
      </c>
      <c r="DA80" s="42">
        <f>IslandModel_1000P[[#This Row],[Input 7]]</f>
        <v>0</v>
      </c>
      <c r="DB80" s="42">
        <f>-IslandModel_1000P[[#This Row],[Input 7 Consumed]]</f>
        <v>0</v>
      </c>
      <c r="DC80" s="42">
        <f>IslandModel_1000P[[#This Row],[Input 8]]</f>
        <v>0</v>
      </c>
      <c r="DD80" s="42">
        <f>-IslandModel_1000P[[#This Row],[Input 8 Consumed]]</f>
        <v>0</v>
      </c>
      <c r="DE80" s="42">
        <f>IslandModel_1000P[[#This Row],[Input 9]]</f>
        <v>0</v>
      </c>
      <c r="DF80" s="42">
        <f>-IslandModel_1000P[[#This Row],[Input 9 Consumed]]</f>
        <v>0</v>
      </c>
      <c r="DG80" s="42">
        <f>IslandModel_1000P[[#This Row],[Input 10]]</f>
        <v>0</v>
      </c>
      <c r="DH80" s="42">
        <f>-IslandModel_1000P[[#This Row],[Input 10 Consumed]]</f>
        <v>0</v>
      </c>
      <c r="DJ80" s="55" t="s">
        <v>16</v>
      </c>
      <c r="DK80" s="39">
        <f>SUM(SUMIFS(IslandModel_1000P[Resource 1 Qty],IslandModel_1000P[Resource 1],ResourceAvailable_1000P[[#This Row],[Resource]]))</f>
        <v>0</v>
      </c>
      <c r="DL80"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80" s="39">
        <f>ResourceAvailable_1000P[[#This Row],[Amount Produced]]-ResourceAvailable_1000P[[#This Row],[Amount Consumed]]</f>
        <v>0</v>
      </c>
      <c r="DN80" s="20">
        <f>MAX(0,ResourceAvailable_1000P[[#This Row],[Amount Available for Resident Consumption]]-SUMIFS(ConsumptionModel_1000P[Resource Demand],ConsumptionModel_1000P[Resource],ResourceAvailable_1000P[[#This Row],[Resource]]))</f>
        <v>0</v>
      </c>
    </row>
    <row r="81" spans="29:118" ht="21" x14ac:dyDescent="0.65">
      <c r="AC81" s="103" t="s">
        <v>372</v>
      </c>
      <c r="AD81" s="83">
        <f>ROW()</f>
        <v>81</v>
      </c>
      <c r="AE81" s="74">
        <v>9</v>
      </c>
      <c r="AF81" s="101" t="s">
        <v>647</v>
      </c>
      <c r="AG81" s="18"/>
      <c r="AH81" s="74">
        <v>9</v>
      </c>
      <c r="AI81" s="156">
        <f>IFERROR(IslandModel_1000P[[#This Row],[Quantity]]/IslandModel_1000P[[#This Row],[Target Quantity]],0)</f>
        <v>1</v>
      </c>
      <c r="AJ81" s="61" t="str">
        <f>IFERROR(INDEX(Production[Resource Produced],MATCH(IslandModel_1000P[[#This Row],[Building]],Production[Building],0)),"")</f>
        <v>Silk Cloth</v>
      </c>
      <c r="AK81" s="99">
        <f>IFERROR(IslandModel_1000P[[#This Row],[Quantity]]*INDEX(Production[Production in 1h],MATCH(IslandModel_1000P[[#This Row],[Building]],Production[Building],0))*IslandModel_1000P[[#This Row],[Input Consumption Multiplier]],0)</f>
        <v>245.625</v>
      </c>
      <c r="AL81" s="115">
        <f>100%</f>
        <v>1</v>
      </c>
      <c r="AM81"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Silk: 491.25/540</v>
      </c>
      <c r="AN81" s="77" t="str">
        <f>IFERROR(INDEX(Production[Input 1],MATCH(IslandModel_1000P[[#This Row],[Building]],Production[Building],0)),"")</f>
        <v>Land tile</v>
      </c>
      <c r="AO81" s="78"/>
      <c r="AP81"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9</v>
      </c>
      <c r="AQ81"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1434.9583333333333</v>
      </c>
      <c r="AR81"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8.1875</v>
      </c>
      <c r="AS81" s="35" t="str">
        <f>IFERROR(INDEX(Production[Input 2],MATCH(IslandModel_1000P[[#This Row],[Building]],Production[Building],0)),"")</f>
        <v>Silk</v>
      </c>
      <c r="AT81" s="78"/>
      <c r="AU81"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540</v>
      </c>
      <c r="AV81"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491.25</v>
      </c>
      <c r="AW81"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491.25</v>
      </c>
      <c r="AX81" s="35">
        <f>IFERROR(INDEX(Production[Input 3],MATCH(IslandModel_1000P[[#This Row],[Building]],Production[Building],0)),"")</f>
        <v>0</v>
      </c>
      <c r="AY81" s="78"/>
      <c r="AZ81"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81"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81"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81" s="35">
        <f>IFERROR(INDEX(Production[Input 4],MATCH(IslandModel_1000P[[#This Row],[Building]],Production[Building],0)),"")</f>
        <v>0</v>
      </c>
      <c r="BD81" s="78"/>
      <c r="BE81"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81"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81"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81" s="35">
        <f>IFERROR(INDEX(Production[Input 5],MATCH(IslandModel_1000P[[#This Row],[Building]],Production[Building],0)),"")</f>
        <v>0</v>
      </c>
      <c r="BI81" s="78"/>
      <c r="BJ81"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81"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81"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81" s="35">
        <f>IFERROR(INDEX(Production[Input 6],MATCH(IslandModel_1000P[[#This Row],[Building]],Production[Building],0)),"")</f>
        <v>0</v>
      </c>
      <c r="BN81" s="78"/>
      <c r="BO81"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81"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81"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81" s="35">
        <f>IFERROR(INDEX(Production[Input 7],MATCH(IslandModel_1000P[[#This Row],[Building]],Production[Building],0)),"")</f>
        <v>0</v>
      </c>
      <c r="BS81" s="78"/>
      <c r="BT81"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81"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81"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81" s="35">
        <f>IFERROR(INDEX(Production[Input 8],MATCH(IslandModel_1000P[[#This Row],[Building]],Production[Building],0)),"")</f>
        <v>0</v>
      </c>
      <c r="BX81" s="78"/>
      <c r="BY81"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81"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81"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81" s="35">
        <f>IFERROR(INDEX(Production[Input 9],MATCH(IslandModel_1000P[[#This Row],[Building]],Production[Building],0)),"")</f>
        <v>0</v>
      </c>
      <c r="CC81" s="78"/>
      <c r="CD81"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81"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81"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81" s="35">
        <f>IFERROR(INDEX(Production[Input 10],MATCH(IslandModel_1000P[[#This Row],[Building]],Production[Building],0)),"")</f>
        <v>0</v>
      </c>
      <c r="CH81" s="78"/>
      <c r="CI81"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81"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81"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81"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0.90972222222222221</v>
      </c>
      <c r="CM81" s="82" t="str">
        <f>IslandModel_1000P[[#This Row],[Resource Produced]]</f>
        <v>Silk Cloth</v>
      </c>
      <c r="CN81" s="42">
        <f>IslandModel_1000P[[#This Row],[Amount produced/h]]</f>
        <v>245.625</v>
      </c>
      <c r="CO81" s="42" t="str">
        <f>IslandModel_1000P[[#This Row],[Input 1]]</f>
        <v>Land tile</v>
      </c>
      <c r="CP81" s="42">
        <f>-IslandModel_1000P[[#This Row],[Input 1 Consumed]]</f>
        <v>-8.1875</v>
      </c>
      <c r="CQ81" s="42" t="str">
        <f>IslandModel_1000P[[#This Row],[Input 2]]</f>
        <v>Silk</v>
      </c>
      <c r="CR81" s="42">
        <f>-IslandModel_1000P[[#This Row],[Input 2 Consumed]]</f>
        <v>-491.25</v>
      </c>
      <c r="CS81" s="42">
        <f>IslandModel_1000P[[#This Row],[Input 3]]</f>
        <v>0</v>
      </c>
      <c r="CT81" s="42">
        <f>-IslandModel_1000P[[#This Row],[Input 3 Consumed]]</f>
        <v>0</v>
      </c>
      <c r="CU81" s="42">
        <f>IslandModel_1000P[[#This Row],[Input 4]]</f>
        <v>0</v>
      </c>
      <c r="CV81" s="42">
        <f>-IslandModel_1000P[[#This Row],[Input 4 Consumed]]</f>
        <v>0</v>
      </c>
      <c r="CW81" s="42">
        <f>IslandModel_1000P[[#This Row],[Input 5]]</f>
        <v>0</v>
      </c>
      <c r="CX81" s="42">
        <f>-IslandModel_1000P[[#This Row],[Input 5 Consumed]]</f>
        <v>0</v>
      </c>
      <c r="CY81" s="42">
        <f>IslandModel_1000P[[#This Row],[Input 6]]</f>
        <v>0</v>
      </c>
      <c r="CZ81" s="42">
        <f>-IslandModel_1000P[[#This Row],[Input 6 Consumed]]</f>
        <v>0</v>
      </c>
      <c r="DA81" s="42">
        <f>IslandModel_1000P[[#This Row],[Input 7]]</f>
        <v>0</v>
      </c>
      <c r="DB81" s="42">
        <f>-IslandModel_1000P[[#This Row],[Input 7 Consumed]]</f>
        <v>0</v>
      </c>
      <c r="DC81" s="42">
        <f>IslandModel_1000P[[#This Row],[Input 8]]</f>
        <v>0</v>
      </c>
      <c r="DD81" s="42">
        <f>-IslandModel_1000P[[#This Row],[Input 8 Consumed]]</f>
        <v>0</v>
      </c>
      <c r="DE81" s="42">
        <f>IslandModel_1000P[[#This Row],[Input 9]]</f>
        <v>0</v>
      </c>
      <c r="DF81" s="42">
        <f>-IslandModel_1000P[[#This Row],[Input 9 Consumed]]</f>
        <v>0</v>
      </c>
      <c r="DG81" s="42">
        <f>IslandModel_1000P[[#This Row],[Input 10]]</f>
        <v>0</v>
      </c>
      <c r="DH81" s="42">
        <f>-IslandModel_1000P[[#This Row],[Input 10 Consumed]]</f>
        <v>0</v>
      </c>
      <c r="DJ81" t="s">
        <v>51</v>
      </c>
      <c r="DK81" s="39">
        <f>SUM(SUMIFS(IslandModel_1000P[Resource 1 Qty],IslandModel_1000P[Resource 1],ResourceAvailable_1000P[[#This Row],[Resource]]))</f>
        <v>3194</v>
      </c>
      <c r="DL81"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2505.8958333333335</v>
      </c>
      <c r="DM81" s="39">
        <f>ResourceAvailable_1000P[[#This Row],[Amount Produced]]-ResourceAvailable_1000P[[#This Row],[Amount Consumed]]</f>
        <v>688.10416666666652</v>
      </c>
      <c r="DN81" s="20">
        <f>MAX(0,ResourceAvailable_1000P[[#This Row],[Amount Available for Resident Consumption]]-SUMIFS(ConsumptionModel_1000P[Resource Demand],ConsumptionModel_1000P[Resource],ResourceAvailable_1000P[[#This Row],[Resource]]))</f>
        <v>688.10416666666652</v>
      </c>
    </row>
    <row r="82" spans="29:118" ht="21" x14ac:dyDescent="0.65">
      <c r="AC82" s="103" t="s">
        <v>372</v>
      </c>
      <c r="AD82" s="83">
        <f>ROW()</f>
        <v>82</v>
      </c>
      <c r="AE82" s="74">
        <v>66</v>
      </c>
      <c r="AF82" s="101" t="s">
        <v>648</v>
      </c>
      <c r="AG82" s="18"/>
      <c r="AH82" s="74">
        <v>66</v>
      </c>
      <c r="AI82" s="156">
        <f>IFERROR(IslandModel_1000P[[#This Row],[Quantity]]/IslandModel_1000P[[#This Row],[Target Quantity]],0)</f>
        <v>1</v>
      </c>
      <c r="AJ82" s="61" t="str">
        <f>IFERROR(INDEX(Production[Resource Produced],MATCH(IslandModel_1000P[[#This Row],[Building]],Production[Building],0)),"")</f>
        <v>Indigo Field</v>
      </c>
      <c r="AK82" s="99">
        <f>IFERROR(IslandModel_1000P[[#This Row],[Quantity]]*INDEX(Production[Production in 1h],MATCH(IslandModel_1000P[[#This Row],[Building]],Production[Building],0))*IslandModel_1000P[[#This Row],[Input Consumption Multiplier]],0)</f>
        <v>66</v>
      </c>
      <c r="AL82" s="115">
        <f>100%</f>
        <v>1</v>
      </c>
      <c r="AM82"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82" s="77" t="str">
        <f>IFERROR(INDEX(Production[Input 1],MATCH(IslandModel_1000P[[#This Row],[Building]],Production[Building],0)),"")</f>
        <v>Land tile</v>
      </c>
      <c r="AO82" s="78"/>
      <c r="AP82"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66</v>
      </c>
      <c r="AQ82"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1426.7708333333333</v>
      </c>
      <c r="AR82"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66</v>
      </c>
      <c r="AS82" s="35">
        <f>IFERROR(INDEX(Production[Input 2],MATCH(IslandModel_1000P[[#This Row],[Building]],Production[Building],0)),"")</f>
        <v>0</v>
      </c>
      <c r="AT82" s="78"/>
      <c r="AU82"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82"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82"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82" s="35">
        <f>IFERROR(INDEX(Production[Input 3],MATCH(IslandModel_1000P[[#This Row],[Building]],Production[Building],0)),"")</f>
        <v>0</v>
      </c>
      <c r="AY82" s="78"/>
      <c r="AZ82"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82"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82"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82" s="35">
        <f>IFERROR(INDEX(Production[Input 4],MATCH(IslandModel_1000P[[#This Row],[Building]],Production[Building],0)),"")</f>
        <v>0</v>
      </c>
      <c r="BD82" s="78"/>
      <c r="BE82"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82"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82"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82" s="35">
        <f>IFERROR(INDEX(Production[Input 5],MATCH(IslandModel_1000P[[#This Row],[Building]],Production[Building],0)),"")</f>
        <v>0</v>
      </c>
      <c r="BI82" s="78"/>
      <c r="BJ82"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82"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82"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82" s="35">
        <f>IFERROR(INDEX(Production[Input 6],MATCH(IslandModel_1000P[[#This Row],[Building]],Production[Building],0)),"")</f>
        <v>0</v>
      </c>
      <c r="BN82" s="78"/>
      <c r="BO82"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82"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82"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82" s="35">
        <f>IFERROR(INDEX(Production[Input 7],MATCH(IslandModel_1000P[[#This Row],[Building]],Production[Building],0)),"")</f>
        <v>0</v>
      </c>
      <c r="BS82" s="78"/>
      <c r="BT82"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82"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82"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82" s="35">
        <f>IFERROR(INDEX(Production[Input 8],MATCH(IslandModel_1000P[[#This Row],[Building]],Production[Building],0)),"")</f>
        <v>0</v>
      </c>
      <c r="BX82" s="78"/>
      <c r="BY82"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82"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82"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82" s="35">
        <f>IFERROR(INDEX(Production[Input 9],MATCH(IslandModel_1000P[[#This Row],[Building]],Production[Building],0)),"")</f>
        <v>0</v>
      </c>
      <c r="CC82" s="78"/>
      <c r="CD82"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82"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82"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82" s="35">
        <f>IFERROR(INDEX(Production[Input 10],MATCH(IslandModel_1000P[[#This Row],[Building]],Production[Building],0)),"")</f>
        <v>0</v>
      </c>
      <c r="CH82" s="78"/>
      <c r="CI82"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82"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82"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82"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82" s="82" t="str">
        <f>IslandModel_1000P[[#This Row],[Resource Produced]]</f>
        <v>Indigo Field</v>
      </c>
      <c r="CN82" s="42">
        <f>IslandModel_1000P[[#This Row],[Amount produced/h]]</f>
        <v>66</v>
      </c>
      <c r="CO82" s="42" t="str">
        <f>IslandModel_1000P[[#This Row],[Input 1]]</f>
        <v>Land tile</v>
      </c>
      <c r="CP82" s="42">
        <f>-IslandModel_1000P[[#This Row],[Input 1 Consumed]]</f>
        <v>-66</v>
      </c>
      <c r="CQ82" s="42">
        <f>IslandModel_1000P[[#This Row],[Input 2]]</f>
        <v>0</v>
      </c>
      <c r="CR82" s="42">
        <f>-IslandModel_1000P[[#This Row],[Input 2 Consumed]]</f>
        <v>0</v>
      </c>
      <c r="CS82" s="42">
        <f>IslandModel_1000P[[#This Row],[Input 3]]</f>
        <v>0</v>
      </c>
      <c r="CT82" s="42">
        <f>-IslandModel_1000P[[#This Row],[Input 3 Consumed]]</f>
        <v>0</v>
      </c>
      <c r="CU82" s="42">
        <f>IslandModel_1000P[[#This Row],[Input 4]]</f>
        <v>0</v>
      </c>
      <c r="CV82" s="42">
        <f>-IslandModel_1000P[[#This Row],[Input 4 Consumed]]</f>
        <v>0</v>
      </c>
      <c r="CW82" s="42">
        <f>IslandModel_1000P[[#This Row],[Input 5]]</f>
        <v>0</v>
      </c>
      <c r="CX82" s="42">
        <f>-IslandModel_1000P[[#This Row],[Input 5 Consumed]]</f>
        <v>0</v>
      </c>
      <c r="CY82" s="42">
        <f>IslandModel_1000P[[#This Row],[Input 6]]</f>
        <v>0</v>
      </c>
      <c r="CZ82" s="42">
        <f>-IslandModel_1000P[[#This Row],[Input 6 Consumed]]</f>
        <v>0</v>
      </c>
      <c r="DA82" s="42">
        <f>IslandModel_1000P[[#This Row],[Input 7]]</f>
        <v>0</v>
      </c>
      <c r="DB82" s="42">
        <f>-IslandModel_1000P[[#This Row],[Input 7 Consumed]]</f>
        <v>0</v>
      </c>
      <c r="DC82" s="42">
        <f>IslandModel_1000P[[#This Row],[Input 8]]</f>
        <v>0</v>
      </c>
      <c r="DD82" s="42">
        <f>-IslandModel_1000P[[#This Row],[Input 8 Consumed]]</f>
        <v>0</v>
      </c>
      <c r="DE82" s="42">
        <f>IslandModel_1000P[[#This Row],[Input 9]]</f>
        <v>0</v>
      </c>
      <c r="DF82" s="42">
        <f>-IslandModel_1000P[[#This Row],[Input 9 Consumed]]</f>
        <v>0</v>
      </c>
      <c r="DG82" s="42">
        <f>IslandModel_1000P[[#This Row],[Input 10]]</f>
        <v>0</v>
      </c>
      <c r="DH82" s="42">
        <f>-IslandModel_1000P[[#This Row],[Input 10 Consumed]]</f>
        <v>0</v>
      </c>
      <c r="DJ82" t="s">
        <v>72</v>
      </c>
      <c r="DK82" s="39">
        <f>SUM(SUMIFS(IslandModel_1000P[Resource 1 Qty],IslandModel_1000P[Resource 1],ResourceAvailable_1000P[[#This Row],[Resource]]))</f>
        <v>135</v>
      </c>
      <c r="DL82"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82" s="39">
        <f>ResourceAvailable_1000P[[#This Row],[Amount Produced]]-ResourceAvailable_1000P[[#This Row],[Amount Consumed]]</f>
        <v>135</v>
      </c>
      <c r="DN82" s="20">
        <f>MAX(0,ResourceAvailable_1000P[[#This Row],[Amount Available for Resident Consumption]]-SUMIFS(ConsumptionModel_1000P[Resource Demand],ConsumptionModel_1000P[Resource],ResourceAvailable_1000P[[#This Row],[Resource]]))</f>
        <v>0</v>
      </c>
    </row>
    <row r="83" spans="29:118" ht="30" x14ac:dyDescent="0.65">
      <c r="AC83" s="103" t="s">
        <v>372</v>
      </c>
      <c r="AD83" s="83">
        <f>ROW()</f>
        <v>83</v>
      </c>
      <c r="AE83" s="74">
        <v>9</v>
      </c>
      <c r="AF83" s="72" t="s">
        <v>417</v>
      </c>
      <c r="AG83" s="18"/>
      <c r="AH83" s="74">
        <v>9</v>
      </c>
      <c r="AI83" s="156">
        <f>IFERROR(IslandModel_1000P[[#This Row],[Quantity]]/IslandModel_1000P[[#This Row],[Target Quantity]],0)</f>
        <v>1</v>
      </c>
      <c r="AJ83" s="61" t="str">
        <f>IFERROR(INDEX(Production[Resource Produced],MATCH(IslandModel_1000P[[#This Row],[Building]],Production[Building],0)),"")</f>
        <v>Dye</v>
      </c>
      <c r="AK83" s="99">
        <f>IFERROR(IslandModel_1000P[[#This Row],[Quantity]]*INDEX(Production[Production in 1h],MATCH(IslandModel_1000P[[#This Row],[Building]],Production[Building],0))*IslandModel_1000P[[#This Row],[Input Consumption Multiplier]],0)</f>
        <v>247.5</v>
      </c>
      <c r="AL83" s="115">
        <f>100%</f>
        <v>1</v>
      </c>
      <c r="AM83"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Indigo Field: 66/72</v>
      </c>
      <c r="AN83" s="77" t="str">
        <f>IFERROR(INDEX(Production[Input 1],MATCH(IslandModel_1000P[[#This Row],[Building]],Production[Building],0)),"")</f>
        <v>Land tile</v>
      </c>
      <c r="AO83" s="78"/>
      <c r="AP83"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9</v>
      </c>
      <c r="AQ83"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1360.7708333333333</v>
      </c>
      <c r="AR83"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8.25</v>
      </c>
      <c r="AS83" s="35" t="str">
        <f>IFERROR(INDEX(Production[Input 2],MATCH(IslandModel_1000P[[#This Row],[Building]],Production[Building],0)),"")</f>
        <v>Indigo Field</v>
      </c>
      <c r="AT83" s="78"/>
      <c r="AU83"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72</v>
      </c>
      <c r="AV83"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66</v>
      </c>
      <c r="AW83"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66</v>
      </c>
      <c r="AX83" s="35">
        <f>IFERROR(INDEX(Production[Input 3],MATCH(IslandModel_1000P[[#This Row],[Building]],Production[Building],0)),"")</f>
        <v>0</v>
      </c>
      <c r="AY83" s="78"/>
      <c r="AZ83"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83"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83"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83" s="35">
        <f>IFERROR(INDEX(Production[Input 4],MATCH(IslandModel_1000P[[#This Row],[Building]],Production[Building],0)),"")</f>
        <v>0</v>
      </c>
      <c r="BD83" s="78"/>
      <c r="BE83"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83"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83"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83" s="35">
        <f>IFERROR(INDEX(Production[Input 5],MATCH(IslandModel_1000P[[#This Row],[Building]],Production[Building],0)),"")</f>
        <v>0</v>
      </c>
      <c r="BI83" s="78"/>
      <c r="BJ83"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83"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83"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83" s="35">
        <f>IFERROR(INDEX(Production[Input 6],MATCH(IslandModel_1000P[[#This Row],[Building]],Production[Building],0)),"")</f>
        <v>0</v>
      </c>
      <c r="BN83" s="78"/>
      <c r="BO83"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83"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83"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83" s="35">
        <f>IFERROR(INDEX(Production[Input 7],MATCH(IslandModel_1000P[[#This Row],[Building]],Production[Building],0)),"")</f>
        <v>0</v>
      </c>
      <c r="BS83" s="78"/>
      <c r="BT83"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83"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83"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83" s="35">
        <f>IFERROR(INDEX(Production[Input 8],MATCH(IslandModel_1000P[[#This Row],[Building]],Production[Building],0)),"")</f>
        <v>0</v>
      </c>
      <c r="BX83" s="78"/>
      <c r="BY83"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83"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83"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83" s="35">
        <f>IFERROR(INDEX(Production[Input 9],MATCH(IslandModel_1000P[[#This Row],[Building]],Production[Building],0)),"")</f>
        <v>0</v>
      </c>
      <c r="CC83" s="78"/>
      <c r="CD83"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83"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83"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83" s="35">
        <f>IFERROR(INDEX(Production[Input 10],MATCH(IslandModel_1000P[[#This Row],[Building]],Production[Building],0)),"")</f>
        <v>0</v>
      </c>
      <c r="CH83" s="78"/>
      <c r="CI83"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83"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83"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83"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0.91666666666666663</v>
      </c>
      <c r="CM83" s="82" t="str">
        <f>IslandModel_1000P[[#This Row],[Resource Produced]]</f>
        <v>Dye</v>
      </c>
      <c r="CN83" s="42">
        <f>IslandModel_1000P[[#This Row],[Amount produced/h]]</f>
        <v>247.5</v>
      </c>
      <c r="CO83" s="42" t="str">
        <f>IslandModel_1000P[[#This Row],[Input 1]]</f>
        <v>Land tile</v>
      </c>
      <c r="CP83" s="42">
        <f>-IslandModel_1000P[[#This Row],[Input 1 Consumed]]</f>
        <v>-8.25</v>
      </c>
      <c r="CQ83" s="42" t="str">
        <f>IslandModel_1000P[[#This Row],[Input 2]]</f>
        <v>Indigo Field</v>
      </c>
      <c r="CR83" s="42">
        <f>-IslandModel_1000P[[#This Row],[Input 2 Consumed]]</f>
        <v>-66</v>
      </c>
      <c r="CS83" s="42">
        <f>IslandModel_1000P[[#This Row],[Input 3]]</f>
        <v>0</v>
      </c>
      <c r="CT83" s="42">
        <f>-IslandModel_1000P[[#This Row],[Input 3 Consumed]]</f>
        <v>0</v>
      </c>
      <c r="CU83" s="42">
        <f>IslandModel_1000P[[#This Row],[Input 4]]</f>
        <v>0</v>
      </c>
      <c r="CV83" s="42">
        <f>-IslandModel_1000P[[#This Row],[Input 4 Consumed]]</f>
        <v>0</v>
      </c>
      <c r="CW83" s="42">
        <f>IslandModel_1000P[[#This Row],[Input 5]]</f>
        <v>0</v>
      </c>
      <c r="CX83" s="42">
        <f>-IslandModel_1000P[[#This Row],[Input 5 Consumed]]</f>
        <v>0</v>
      </c>
      <c r="CY83" s="42">
        <f>IslandModel_1000P[[#This Row],[Input 6]]</f>
        <v>0</v>
      </c>
      <c r="CZ83" s="42">
        <f>-IslandModel_1000P[[#This Row],[Input 6 Consumed]]</f>
        <v>0</v>
      </c>
      <c r="DA83" s="42">
        <f>IslandModel_1000P[[#This Row],[Input 7]]</f>
        <v>0</v>
      </c>
      <c r="DB83" s="42">
        <f>-IslandModel_1000P[[#This Row],[Input 7 Consumed]]</f>
        <v>0</v>
      </c>
      <c r="DC83" s="42">
        <f>IslandModel_1000P[[#This Row],[Input 8]]</f>
        <v>0</v>
      </c>
      <c r="DD83" s="42">
        <f>-IslandModel_1000P[[#This Row],[Input 8 Consumed]]</f>
        <v>0</v>
      </c>
      <c r="DE83" s="42">
        <f>IslandModel_1000P[[#This Row],[Input 9]]</f>
        <v>0</v>
      </c>
      <c r="DF83" s="42">
        <f>-IslandModel_1000P[[#This Row],[Input 9 Consumed]]</f>
        <v>0</v>
      </c>
      <c r="DG83" s="42">
        <f>IslandModel_1000P[[#This Row],[Input 10]]</f>
        <v>0</v>
      </c>
      <c r="DH83" s="42">
        <f>-IslandModel_1000P[[#This Row],[Input 10 Consumed]]</f>
        <v>0</v>
      </c>
      <c r="DJ83" t="s">
        <v>69</v>
      </c>
      <c r="DK83" s="39">
        <f>SUM(SUMIFS(IslandModel_1000P[Resource 1 Qty],IslandModel_1000P[Resource 1],ResourceAvailable_1000P[[#This Row],[Resource]]))</f>
        <v>723.75</v>
      </c>
      <c r="DL83"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723.75</v>
      </c>
      <c r="DM83" s="39">
        <f>ResourceAvailable_1000P[[#This Row],[Amount Produced]]-ResourceAvailable_1000P[[#This Row],[Amount Consumed]]</f>
        <v>0</v>
      </c>
      <c r="DN83" s="20">
        <f>MAX(0,ResourceAvailable_1000P[[#This Row],[Amount Available for Resident Consumption]]-SUMIFS(ConsumptionModel_1000P[Resource Demand],ConsumptionModel_1000P[Resource],ResourceAvailable_1000P[[#This Row],[Resource]]))</f>
        <v>0</v>
      </c>
    </row>
    <row r="84" spans="29:118" ht="44.25" x14ac:dyDescent="0.65">
      <c r="AC84" s="103" t="s">
        <v>372</v>
      </c>
      <c r="AD84" s="83">
        <f>ROW()</f>
        <v>84</v>
      </c>
      <c r="AE84" s="74">
        <v>17</v>
      </c>
      <c r="AF84" s="72" t="s">
        <v>845</v>
      </c>
      <c r="AG84" s="18"/>
      <c r="AH84" s="74">
        <v>17</v>
      </c>
      <c r="AI84" s="156">
        <f>IFERROR(IslandModel_1000P[[#This Row],[Quantity]]/IslandModel_1000P[[#This Row],[Target Quantity]],0)</f>
        <v>1</v>
      </c>
      <c r="AJ84" s="61" t="str">
        <f>IFERROR(INDEX(Production[Resource Produced],MATCH(IslandModel_1000P[[#This Row],[Building]],Production[Building],0)),"")</f>
        <v>Garment</v>
      </c>
      <c r="AK84" s="99">
        <f>IFERROR(IslandModel_1000P[[#This Row],[Quantity]]*INDEX(Production[Production in 1h],MATCH(IslandModel_1000P[[#This Row],[Building]],Production[Building],0))*IslandModel_1000P[[#This Row],[Input Consumption Multiplier]],0)</f>
        <v>245.625</v>
      </c>
      <c r="AL84" s="115">
        <f>100%</f>
        <v>1</v>
      </c>
      <c r="AM84"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Silk Cloth: 245.625/255, Dye: 247.5/255</v>
      </c>
      <c r="AN84" s="77" t="str">
        <f>IFERROR(INDEX(Production[Input 1],MATCH(IslandModel_1000P[[#This Row],[Building]],Production[Building],0)),"")</f>
        <v>Land tile</v>
      </c>
      <c r="AO84" s="78"/>
      <c r="AP84"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17</v>
      </c>
      <c r="AQ84"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1352.5208333333333</v>
      </c>
      <c r="AR84"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16.375</v>
      </c>
      <c r="AS84" s="35" t="str">
        <f>IFERROR(INDEX(Production[Input 2],MATCH(IslandModel_1000P[[#This Row],[Building]],Production[Building],0)),"")</f>
        <v>Silk Cloth</v>
      </c>
      <c r="AT84" s="78"/>
      <c r="AU84"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255</v>
      </c>
      <c r="AV84"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245.625</v>
      </c>
      <c r="AW84"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245.625</v>
      </c>
      <c r="AX84" s="35" t="str">
        <f>IFERROR(INDEX(Production[Input 3],MATCH(IslandModel_1000P[[#This Row],[Building]],Production[Building],0)),"")</f>
        <v>Dye</v>
      </c>
      <c r="AY84" s="78"/>
      <c r="AZ84"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255</v>
      </c>
      <c r="BA84"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247.5</v>
      </c>
      <c r="BB84"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245.625</v>
      </c>
      <c r="BC84" s="35">
        <f>IFERROR(INDEX(Production[Input 4],MATCH(IslandModel_1000P[[#This Row],[Building]],Production[Building],0)),"")</f>
        <v>0</v>
      </c>
      <c r="BD84" s="78"/>
      <c r="BE84"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84"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84"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84" s="35">
        <f>IFERROR(INDEX(Production[Input 5],MATCH(IslandModel_1000P[[#This Row],[Building]],Production[Building],0)),"")</f>
        <v>0</v>
      </c>
      <c r="BI84" s="78"/>
      <c r="BJ84"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84"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84"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84" s="35">
        <f>IFERROR(INDEX(Production[Input 6],MATCH(IslandModel_1000P[[#This Row],[Building]],Production[Building],0)),"")</f>
        <v>0</v>
      </c>
      <c r="BN84" s="78"/>
      <c r="BO84"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84"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84"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84" s="35">
        <f>IFERROR(INDEX(Production[Input 7],MATCH(IslandModel_1000P[[#This Row],[Building]],Production[Building],0)),"")</f>
        <v>0</v>
      </c>
      <c r="BS84" s="78"/>
      <c r="BT84"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84"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84"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84" s="35">
        <f>IFERROR(INDEX(Production[Input 8],MATCH(IslandModel_1000P[[#This Row],[Building]],Production[Building],0)),"")</f>
        <v>0</v>
      </c>
      <c r="BX84" s="78"/>
      <c r="BY84"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84"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84"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84" s="35">
        <f>IFERROR(INDEX(Production[Input 9],MATCH(IslandModel_1000P[[#This Row],[Building]],Production[Building],0)),"")</f>
        <v>0</v>
      </c>
      <c r="CC84" s="78"/>
      <c r="CD84"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84"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84"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84" s="35">
        <f>IFERROR(INDEX(Production[Input 10],MATCH(IslandModel_1000P[[#This Row],[Building]],Production[Building],0)),"")</f>
        <v>0</v>
      </c>
      <c r="CH84" s="78"/>
      <c r="CI84"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84"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84"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84"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0.96323529411764708</v>
      </c>
      <c r="CM84" s="82" t="str">
        <f>IslandModel_1000P[[#This Row],[Resource Produced]]</f>
        <v>Garment</v>
      </c>
      <c r="CN84" s="42">
        <f>IslandModel_1000P[[#This Row],[Amount produced/h]]</f>
        <v>245.625</v>
      </c>
      <c r="CO84" s="42" t="str">
        <f>IslandModel_1000P[[#This Row],[Input 1]]</f>
        <v>Land tile</v>
      </c>
      <c r="CP84" s="42">
        <f>-IslandModel_1000P[[#This Row],[Input 1 Consumed]]</f>
        <v>-16.375</v>
      </c>
      <c r="CQ84" s="42" t="str">
        <f>IslandModel_1000P[[#This Row],[Input 2]]</f>
        <v>Silk Cloth</v>
      </c>
      <c r="CR84" s="42">
        <f>-IslandModel_1000P[[#This Row],[Input 2 Consumed]]</f>
        <v>-245.625</v>
      </c>
      <c r="CS84" s="42" t="str">
        <f>IslandModel_1000P[[#This Row],[Input 3]]</f>
        <v>Dye</v>
      </c>
      <c r="CT84" s="42">
        <f>-IslandModel_1000P[[#This Row],[Input 3 Consumed]]</f>
        <v>-245.625</v>
      </c>
      <c r="CU84" s="42">
        <f>IslandModel_1000P[[#This Row],[Input 4]]</f>
        <v>0</v>
      </c>
      <c r="CV84" s="42">
        <f>-IslandModel_1000P[[#This Row],[Input 4 Consumed]]</f>
        <v>0</v>
      </c>
      <c r="CW84" s="42">
        <f>IslandModel_1000P[[#This Row],[Input 5]]</f>
        <v>0</v>
      </c>
      <c r="CX84" s="42">
        <f>-IslandModel_1000P[[#This Row],[Input 5 Consumed]]</f>
        <v>0</v>
      </c>
      <c r="CY84" s="42">
        <f>IslandModel_1000P[[#This Row],[Input 6]]</f>
        <v>0</v>
      </c>
      <c r="CZ84" s="42">
        <f>-IslandModel_1000P[[#This Row],[Input 6 Consumed]]</f>
        <v>0</v>
      </c>
      <c r="DA84" s="42">
        <f>IslandModel_1000P[[#This Row],[Input 7]]</f>
        <v>0</v>
      </c>
      <c r="DB84" s="42">
        <f>-IslandModel_1000P[[#This Row],[Input 7 Consumed]]</f>
        <v>0</v>
      </c>
      <c r="DC84" s="42">
        <f>IslandModel_1000P[[#This Row],[Input 8]]</f>
        <v>0</v>
      </c>
      <c r="DD84" s="42">
        <f>-IslandModel_1000P[[#This Row],[Input 8 Consumed]]</f>
        <v>0</v>
      </c>
      <c r="DE84" s="42">
        <f>IslandModel_1000P[[#This Row],[Input 9]]</f>
        <v>0</v>
      </c>
      <c r="DF84" s="42">
        <f>-IslandModel_1000P[[#This Row],[Input 9 Consumed]]</f>
        <v>0</v>
      </c>
      <c r="DG84" s="42">
        <f>IslandModel_1000P[[#This Row],[Input 10]]</f>
        <v>0</v>
      </c>
      <c r="DH84" s="42">
        <f>-IslandModel_1000P[[#This Row],[Input 10 Consumed]]</f>
        <v>0</v>
      </c>
      <c r="DJ84" t="s">
        <v>149</v>
      </c>
      <c r="DK84" s="39">
        <f>SUM(SUMIFS(IslandModel_1000P[Resource 1 Qty],IslandModel_1000P[Resource 1],ResourceAvailable_1000P[[#This Row],[Resource]]))</f>
        <v>180</v>
      </c>
      <c r="DL84"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180</v>
      </c>
      <c r="DM84" s="39">
        <f>ResourceAvailable_1000P[[#This Row],[Amount Produced]]-ResourceAvailable_1000P[[#This Row],[Amount Consumed]]</f>
        <v>0</v>
      </c>
      <c r="DN84" s="20">
        <f>MAX(0,ResourceAvailable_1000P[[#This Row],[Amount Available for Resident Consumption]]-SUMIFS(ConsumptionModel_1000P[Resource Demand],ConsumptionModel_1000P[Resource],ResourceAvailable_1000P[[#This Row],[Resource]]))</f>
        <v>0</v>
      </c>
    </row>
    <row r="85" spans="29:118" ht="21" x14ac:dyDescent="0.65">
      <c r="AC85" s="103" t="s">
        <v>374</v>
      </c>
      <c r="AD85" s="83">
        <f>ROW()</f>
        <v>85</v>
      </c>
      <c r="AE85" s="74">
        <v>2</v>
      </c>
      <c r="AF85" s="50" t="s">
        <v>138</v>
      </c>
      <c r="AG85" s="18"/>
      <c r="AH85" s="74">
        <v>2</v>
      </c>
      <c r="AI85" s="156">
        <f>IFERROR(IslandModel_1000P[[#This Row],[Quantity]]/IslandModel_1000P[[#This Row],[Target Quantity]],0)</f>
        <v>1</v>
      </c>
      <c r="AJ85" s="61" t="str">
        <f>IFERROR(INDEX(Production[Resource Produced],MATCH(IslandModel_1000P[[#This Row],[Building]],Production[Building],0)),"")</f>
        <v>Coal</v>
      </c>
      <c r="AK85" s="99">
        <f>IFERROR(IslandModel_1000P[[#This Row],[Quantity]]*INDEX(Production[Production in 1h],MATCH(IslandModel_1000P[[#This Row],[Building]],Production[Building],0))*IslandModel_1000P[[#This Row],[Input Consumption Multiplier]],0)</f>
        <v>60</v>
      </c>
      <c r="AL85" s="115">
        <f>100%</f>
        <v>1</v>
      </c>
      <c r="AM85"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85" s="77" t="str">
        <f>IFERROR(INDEX(Production[Input 1],MATCH(IslandModel_1000P[[#This Row],[Building]],Production[Building],0)),"")</f>
        <v>Mountain tile</v>
      </c>
      <c r="AO85" s="78"/>
      <c r="AP85"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v>
      </c>
      <c r="AQ85"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317</v>
      </c>
      <c r="AR85"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v>
      </c>
      <c r="AS85" s="35">
        <f>IFERROR(INDEX(Production[Input 2],MATCH(IslandModel_1000P[[#This Row],[Building]],Production[Building],0)),"")</f>
        <v>0</v>
      </c>
      <c r="AT85" s="78"/>
      <c r="AU85"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85"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85"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85" s="35">
        <f>IFERROR(INDEX(Production[Input 3],MATCH(IslandModel_1000P[[#This Row],[Building]],Production[Building],0)),"")</f>
        <v>0</v>
      </c>
      <c r="AY85" s="78"/>
      <c r="AZ85"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85"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85"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85" s="35">
        <f>IFERROR(INDEX(Production[Input 4],MATCH(IslandModel_1000P[[#This Row],[Building]],Production[Building],0)),"")</f>
        <v>0</v>
      </c>
      <c r="BD85" s="78"/>
      <c r="BE85"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85"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85"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85" s="35">
        <f>IFERROR(INDEX(Production[Input 5],MATCH(IslandModel_1000P[[#This Row],[Building]],Production[Building],0)),"")</f>
        <v>0</v>
      </c>
      <c r="BI85" s="78"/>
      <c r="BJ85"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85"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85"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85" s="35">
        <f>IFERROR(INDEX(Production[Input 6],MATCH(IslandModel_1000P[[#This Row],[Building]],Production[Building],0)),"")</f>
        <v>0</v>
      </c>
      <c r="BN85" s="78"/>
      <c r="BO85"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85"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85"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85" s="35">
        <f>IFERROR(INDEX(Production[Input 7],MATCH(IslandModel_1000P[[#This Row],[Building]],Production[Building],0)),"")</f>
        <v>0</v>
      </c>
      <c r="BS85" s="78"/>
      <c r="BT85"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85"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85"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85" s="35">
        <f>IFERROR(INDEX(Production[Input 8],MATCH(IslandModel_1000P[[#This Row],[Building]],Production[Building],0)),"")</f>
        <v>0</v>
      </c>
      <c r="BX85" s="78"/>
      <c r="BY85"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85"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85"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85" s="35">
        <f>IFERROR(INDEX(Production[Input 9],MATCH(IslandModel_1000P[[#This Row],[Building]],Production[Building],0)),"")</f>
        <v>0</v>
      </c>
      <c r="CC85" s="78"/>
      <c r="CD85"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85"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85"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85" s="35">
        <f>IFERROR(INDEX(Production[Input 10],MATCH(IslandModel_1000P[[#This Row],[Building]],Production[Building],0)),"")</f>
        <v>0</v>
      </c>
      <c r="CH85" s="78"/>
      <c r="CI85"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85"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85"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85"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85" s="82" t="str">
        <f>IslandModel_1000P[[#This Row],[Resource Produced]]</f>
        <v>Coal</v>
      </c>
      <c r="CN85" s="42">
        <f>IslandModel_1000P[[#This Row],[Amount produced/h]]</f>
        <v>60</v>
      </c>
      <c r="CO85" s="42" t="str">
        <f>IslandModel_1000P[[#This Row],[Input 1]]</f>
        <v>Mountain tile</v>
      </c>
      <c r="CP85" s="42">
        <f>-IslandModel_1000P[[#This Row],[Input 1 Consumed]]</f>
        <v>-2</v>
      </c>
      <c r="CQ85" s="42">
        <f>IslandModel_1000P[[#This Row],[Input 2]]</f>
        <v>0</v>
      </c>
      <c r="CR85" s="42">
        <f>-IslandModel_1000P[[#This Row],[Input 2 Consumed]]</f>
        <v>0</v>
      </c>
      <c r="CS85" s="42">
        <f>IslandModel_1000P[[#This Row],[Input 3]]</f>
        <v>0</v>
      </c>
      <c r="CT85" s="42">
        <f>-IslandModel_1000P[[#This Row],[Input 3 Consumed]]</f>
        <v>0</v>
      </c>
      <c r="CU85" s="42">
        <f>IslandModel_1000P[[#This Row],[Input 4]]</f>
        <v>0</v>
      </c>
      <c r="CV85" s="42">
        <f>-IslandModel_1000P[[#This Row],[Input 4 Consumed]]</f>
        <v>0</v>
      </c>
      <c r="CW85" s="42">
        <f>IslandModel_1000P[[#This Row],[Input 5]]</f>
        <v>0</v>
      </c>
      <c r="CX85" s="42">
        <f>-IslandModel_1000P[[#This Row],[Input 5 Consumed]]</f>
        <v>0</v>
      </c>
      <c r="CY85" s="42">
        <f>IslandModel_1000P[[#This Row],[Input 6]]</f>
        <v>0</v>
      </c>
      <c r="CZ85" s="42">
        <f>-IslandModel_1000P[[#This Row],[Input 6 Consumed]]</f>
        <v>0</v>
      </c>
      <c r="DA85" s="42">
        <f>IslandModel_1000P[[#This Row],[Input 7]]</f>
        <v>0</v>
      </c>
      <c r="DB85" s="42">
        <f>-IslandModel_1000P[[#This Row],[Input 7 Consumed]]</f>
        <v>0</v>
      </c>
      <c r="DC85" s="42">
        <f>IslandModel_1000P[[#This Row],[Input 8]]</f>
        <v>0</v>
      </c>
      <c r="DD85" s="42">
        <f>-IslandModel_1000P[[#This Row],[Input 8 Consumed]]</f>
        <v>0</v>
      </c>
      <c r="DE85" s="42">
        <f>IslandModel_1000P[[#This Row],[Input 9]]</f>
        <v>0</v>
      </c>
      <c r="DF85" s="42">
        <f>-IslandModel_1000P[[#This Row],[Input 9 Consumed]]</f>
        <v>0</v>
      </c>
      <c r="DG85" s="42">
        <f>IslandModel_1000P[[#This Row],[Input 10]]</f>
        <v>0</v>
      </c>
      <c r="DH85" s="42">
        <f>-IslandModel_1000P[[#This Row],[Input 10 Consumed]]</f>
        <v>0</v>
      </c>
      <c r="DJ85" t="s">
        <v>377</v>
      </c>
      <c r="DK85" s="39">
        <f>SUM(SUMIFS(IslandModel_1000P[Resource 1 Qty],IslandModel_1000P[Resource 1],ResourceAvailable_1000P[[#This Row],[Resource]]))</f>
        <v>202.5</v>
      </c>
      <c r="DL85"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202.5</v>
      </c>
      <c r="DM85" s="39">
        <f>ResourceAvailable_1000P[[#This Row],[Amount Produced]]-ResourceAvailable_1000P[[#This Row],[Amount Consumed]]</f>
        <v>0</v>
      </c>
      <c r="DN85" s="20">
        <f>MAX(0,ResourceAvailable_1000P[[#This Row],[Amount Available for Resident Consumption]]-SUMIFS(ConsumptionModel_1000P[Resource Demand],ConsumptionModel_1000P[Resource],ResourceAvailable_1000P[[#This Row],[Resource]]))</f>
        <v>0</v>
      </c>
    </row>
    <row r="86" spans="29:118" ht="21" x14ac:dyDescent="0.65">
      <c r="AC86" s="103" t="s">
        <v>374</v>
      </c>
      <c r="AD86" s="83">
        <f>ROW()</f>
        <v>86</v>
      </c>
      <c r="AE86" s="74"/>
      <c r="AF86" s="50" t="s">
        <v>50</v>
      </c>
      <c r="AG86" s="18"/>
      <c r="AH86" s="74"/>
      <c r="AI86" s="156">
        <f>IFERROR(IslandModel_1000P[[#This Row],[Quantity]]/IslandModel_1000P[[#This Row],[Target Quantity]],0)</f>
        <v>0</v>
      </c>
      <c r="AJ86" s="61" t="str">
        <f>IFERROR(INDEX(Production[Resource Produced],MATCH(IslandModel_1000P[[#This Row],[Building]],Production[Building],0)),"")</f>
        <v>Wood</v>
      </c>
      <c r="AK86" s="99">
        <f>IFERROR(IslandModel_1000P[[#This Row],[Quantity]]*INDEX(Production[Production in 1h],MATCH(IslandModel_1000P[[#This Row],[Building]],Production[Building],0))*IslandModel_1000P[[#This Row],[Input Consumption Multiplier]],0)</f>
        <v>0</v>
      </c>
      <c r="AL86" s="115">
        <f>100%</f>
        <v>1</v>
      </c>
      <c r="AM86"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86" s="77" t="str">
        <f>IFERROR(INDEX(Production[Input 1],MATCH(IslandModel_1000P[[#This Row],[Building]],Production[Building],0)),"")</f>
        <v>Land tile</v>
      </c>
      <c r="AO86" s="78"/>
      <c r="AP86"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86"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1336.1458333333333</v>
      </c>
      <c r="AR86"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86" s="35">
        <f>IFERROR(INDEX(Production[Input 2],MATCH(IslandModel_1000P[[#This Row],[Building]],Production[Building],0)),"")</f>
        <v>0</v>
      </c>
      <c r="AT86" s="78"/>
      <c r="AU86"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86"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86"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86" s="35">
        <f>IFERROR(INDEX(Production[Input 3],MATCH(IslandModel_1000P[[#This Row],[Building]],Production[Building],0)),"")</f>
        <v>0</v>
      </c>
      <c r="AY86" s="78"/>
      <c r="AZ86"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86"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86"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86" s="35">
        <f>IFERROR(INDEX(Production[Input 4],MATCH(IslandModel_1000P[[#This Row],[Building]],Production[Building],0)),"")</f>
        <v>0</v>
      </c>
      <c r="BD86" s="78"/>
      <c r="BE86"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86"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86"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86" s="35">
        <f>IFERROR(INDEX(Production[Input 5],MATCH(IslandModel_1000P[[#This Row],[Building]],Production[Building],0)),"")</f>
        <v>0</v>
      </c>
      <c r="BI86" s="78"/>
      <c r="BJ86"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86"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86"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86" s="35">
        <f>IFERROR(INDEX(Production[Input 6],MATCH(IslandModel_1000P[[#This Row],[Building]],Production[Building],0)),"")</f>
        <v>0</v>
      </c>
      <c r="BN86" s="78"/>
      <c r="BO86"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86"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86"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86" s="35">
        <f>IFERROR(INDEX(Production[Input 7],MATCH(IslandModel_1000P[[#This Row],[Building]],Production[Building],0)),"")</f>
        <v>0</v>
      </c>
      <c r="BS86" s="78"/>
      <c r="BT86"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86"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86"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86" s="35">
        <f>IFERROR(INDEX(Production[Input 8],MATCH(IslandModel_1000P[[#This Row],[Building]],Production[Building],0)),"")</f>
        <v>0</v>
      </c>
      <c r="BX86" s="78"/>
      <c r="BY86"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86"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86"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86" s="35">
        <f>IFERROR(INDEX(Production[Input 9],MATCH(IslandModel_1000P[[#This Row],[Building]],Production[Building],0)),"")</f>
        <v>0</v>
      </c>
      <c r="CC86" s="78"/>
      <c r="CD86"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86"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86"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86" s="35">
        <f>IFERROR(INDEX(Production[Input 10],MATCH(IslandModel_1000P[[#This Row],[Building]],Production[Building],0)),"")</f>
        <v>0</v>
      </c>
      <c r="CH86" s="78"/>
      <c r="CI86"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86"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86"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86"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86" s="82" t="str">
        <f>IslandModel_1000P[[#This Row],[Resource Produced]]</f>
        <v>Wood</v>
      </c>
      <c r="CN86" s="42">
        <f>IslandModel_1000P[[#This Row],[Amount produced/h]]</f>
        <v>0</v>
      </c>
      <c r="CO86" s="42" t="str">
        <f>IslandModel_1000P[[#This Row],[Input 1]]</f>
        <v>Land tile</v>
      </c>
      <c r="CP86" s="42">
        <f>-IslandModel_1000P[[#This Row],[Input 1 Consumed]]</f>
        <v>0</v>
      </c>
      <c r="CQ86" s="42">
        <f>IslandModel_1000P[[#This Row],[Input 2]]</f>
        <v>0</v>
      </c>
      <c r="CR86" s="42">
        <f>-IslandModel_1000P[[#This Row],[Input 2 Consumed]]</f>
        <v>0</v>
      </c>
      <c r="CS86" s="42">
        <f>IslandModel_1000P[[#This Row],[Input 3]]</f>
        <v>0</v>
      </c>
      <c r="CT86" s="42">
        <f>-IslandModel_1000P[[#This Row],[Input 3 Consumed]]</f>
        <v>0</v>
      </c>
      <c r="CU86" s="42">
        <f>IslandModel_1000P[[#This Row],[Input 4]]</f>
        <v>0</v>
      </c>
      <c r="CV86" s="42">
        <f>-IslandModel_1000P[[#This Row],[Input 4 Consumed]]</f>
        <v>0</v>
      </c>
      <c r="CW86" s="42">
        <f>IslandModel_1000P[[#This Row],[Input 5]]</f>
        <v>0</v>
      </c>
      <c r="CX86" s="42">
        <f>-IslandModel_1000P[[#This Row],[Input 5 Consumed]]</f>
        <v>0</v>
      </c>
      <c r="CY86" s="42">
        <f>IslandModel_1000P[[#This Row],[Input 6]]</f>
        <v>0</v>
      </c>
      <c r="CZ86" s="42">
        <f>-IslandModel_1000P[[#This Row],[Input 6 Consumed]]</f>
        <v>0</v>
      </c>
      <c r="DA86" s="42">
        <f>IslandModel_1000P[[#This Row],[Input 7]]</f>
        <v>0</v>
      </c>
      <c r="DB86" s="42">
        <f>-IslandModel_1000P[[#This Row],[Input 7 Consumed]]</f>
        <v>0</v>
      </c>
      <c r="DC86" s="42">
        <f>IslandModel_1000P[[#This Row],[Input 8]]</f>
        <v>0</v>
      </c>
      <c r="DD86" s="42">
        <f>-IslandModel_1000P[[#This Row],[Input 8 Consumed]]</f>
        <v>0</v>
      </c>
      <c r="DE86" s="42">
        <f>IslandModel_1000P[[#This Row],[Input 9]]</f>
        <v>0</v>
      </c>
      <c r="DF86" s="42">
        <f>-IslandModel_1000P[[#This Row],[Input 9 Consumed]]</f>
        <v>0</v>
      </c>
      <c r="DG86" s="42">
        <f>IslandModel_1000P[[#This Row],[Input 10]]</f>
        <v>0</v>
      </c>
      <c r="DH86" s="42">
        <f>-IslandModel_1000P[[#This Row],[Input 10 Consumed]]</f>
        <v>0</v>
      </c>
      <c r="DJ86" t="s">
        <v>378</v>
      </c>
      <c r="DK86" s="39">
        <f>SUM(SUMIFS(IslandModel_1000P[Resource 1 Qty],IslandModel_1000P[Resource 1],ResourceAvailable_1000P[[#This Row],[Resource]]))</f>
        <v>450</v>
      </c>
      <c r="DL86"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405</v>
      </c>
      <c r="DM86" s="39">
        <f>ResourceAvailable_1000P[[#This Row],[Amount Produced]]-ResourceAvailable_1000P[[#This Row],[Amount Consumed]]</f>
        <v>45</v>
      </c>
      <c r="DN86" s="20">
        <f>MAX(0,ResourceAvailable_1000P[[#This Row],[Amount Available for Resident Consumption]]-SUMIFS(ConsumptionModel_1000P[Resource Demand],ConsumptionModel_1000P[Resource],ResourceAvailable_1000P[[#This Row],[Resource]]))</f>
        <v>45</v>
      </c>
    </row>
    <row r="87" spans="29:118" ht="21" x14ac:dyDescent="0.65">
      <c r="AC87" s="103" t="s">
        <v>374</v>
      </c>
      <c r="AD87" s="83">
        <f>ROW()</f>
        <v>87</v>
      </c>
      <c r="AE87" s="74"/>
      <c r="AF87" s="50" t="s">
        <v>858</v>
      </c>
      <c r="AG87" s="18"/>
      <c r="AH87" s="74"/>
      <c r="AI87" s="156">
        <f>IFERROR(IslandModel_1000P[[#This Row],[Quantity]]/IslandModel_1000P[[#This Row],[Target Quantity]],0)</f>
        <v>0</v>
      </c>
      <c r="AJ87" s="61" t="str">
        <f>IFERROR(INDEX(Production[Resource Produced],MATCH(IslandModel_1000P[[#This Row],[Building]],Production[Building],0)),"")</f>
        <v>Coal</v>
      </c>
      <c r="AK87" s="99">
        <f>IFERROR(IslandModel_1000P[[#This Row],[Quantity]]*INDEX(Production[Production in 1h],MATCH(IslandModel_1000P[[#This Row],[Building]],Production[Building],0))*IslandModel_1000P[[#This Row],[Input Consumption Multiplier]],0)</f>
        <v>0</v>
      </c>
      <c r="AL87" s="115">
        <f>100%</f>
        <v>1</v>
      </c>
      <c r="AM87"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87" s="77" t="str">
        <f>IFERROR(INDEX(Production[Input 1],MATCH(IslandModel_1000P[[#This Row],[Building]],Production[Building],0)),"")</f>
        <v>Land tile</v>
      </c>
      <c r="AO87" s="78"/>
      <c r="AP87"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87"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1336.1458333333333</v>
      </c>
      <c r="AR87"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87" s="35" t="str">
        <f>IFERROR(INDEX(Production[Input 2],MATCH(IslandModel_1000P[[#This Row],[Building]],Production[Building],0)),"")</f>
        <v>Wood</v>
      </c>
      <c r="AT87" s="78"/>
      <c r="AU87"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87"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87"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87" s="35">
        <f>IFERROR(INDEX(Production[Input 3],MATCH(IslandModel_1000P[[#This Row],[Building]],Production[Building],0)),"")</f>
        <v>0</v>
      </c>
      <c r="AY87" s="78"/>
      <c r="AZ87"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87"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87"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87" s="35">
        <f>IFERROR(INDEX(Production[Input 4],MATCH(IslandModel_1000P[[#This Row],[Building]],Production[Building],0)),"")</f>
        <v>0</v>
      </c>
      <c r="BD87" s="78"/>
      <c r="BE87"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87"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87"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87" s="35">
        <f>IFERROR(INDEX(Production[Input 5],MATCH(IslandModel_1000P[[#This Row],[Building]],Production[Building],0)),"")</f>
        <v>0</v>
      </c>
      <c r="BI87" s="78"/>
      <c r="BJ87"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87"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87"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87" s="35">
        <f>IFERROR(INDEX(Production[Input 6],MATCH(IslandModel_1000P[[#This Row],[Building]],Production[Building],0)),"")</f>
        <v>0</v>
      </c>
      <c r="BN87" s="78"/>
      <c r="BO87"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87"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87"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87" s="35">
        <f>IFERROR(INDEX(Production[Input 7],MATCH(IslandModel_1000P[[#This Row],[Building]],Production[Building],0)),"")</f>
        <v>0</v>
      </c>
      <c r="BS87" s="78"/>
      <c r="BT87"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87"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87"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87" s="35">
        <f>IFERROR(INDEX(Production[Input 8],MATCH(IslandModel_1000P[[#This Row],[Building]],Production[Building],0)),"")</f>
        <v>0</v>
      </c>
      <c r="BX87" s="78"/>
      <c r="BY87"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87"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87"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87" s="35">
        <f>IFERROR(INDEX(Production[Input 9],MATCH(IslandModel_1000P[[#This Row],[Building]],Production[Building],0)),"")</f>
        <v>0</v>
      </c>
      <c r="CC87" s="78"/>
      <c r="CD87"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87"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87"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87" s="35">
        <f>IFERROR(INDEX(Production[Input 10],MATCH(IslandModel_1000P[[#This Row],[Building]],Production[Building],0)),"")</f>
        <v>0</v>
      </c>
      <c r="CH87" s="78"/>
      <c r="CI87"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87"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87"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87"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87" s="82" t="str">
        <f>IslandModel_1000P[[#This Row],[Resource Produced]]</f>
        <v>Coal</v>
      </c>
      <c r="CN87" s="42">
        <f>IslandModel_1000P[[#This Row],[Amount produced/h]]</f>
        <v>0</v>
      </c>
      <c r="CO87" s="42" t="str">
        <f>IslandModel_1000P[[#This Row],[Input 1]]</f>
        <v>Land tile</v>
      </c>
      <c r="CP87" s="42">
        <f>-IslandModel_1000P[[#This Row],[Input 1 Consumed]]</f>
        <v>0</v>
      </c>
      <c r="CQ87" s="42" t="str">
        <f>IslandModel_1000P[[#This Row],[Input 2]]</f>
        <v>Wood</v>
      </c>
      <c r="CR87" s="42">
        <f>-IslandModel_1000P[[#This Row],[Input 2 Consumed]]</f>
        <v>0</v>
      </c>
      <c r="CS87" s="42">
        <f>IslandModel_1000P[[#This Row],[Input 3]]</f>
        <v>0</v>
      </c>
      <c r="CT87" s="42">
        <f>-IslandModel_1000P[[#This Row],[Input 3 Consumed]]</f>
        <v>0</v>
      </c>
      <c r="CU87" s="42">
        <f>IslandModel_1000P[[#This Row],[Input 4]]</f>
        <v>0</v>
      </c>
      <c r="CV87" s="42">
        <f>-IslandModel_1000P[[#This Row],[Input 4 Consumed]]</f>
        <v>0</v>
      </c>
      <c r="CW87" s="42">
        <f>IslandModel_1000P[[#This Row],[Input 5]]</f>
        <v>0</v>
      </c>
      <c r="CX87" s="42">
        <f>-IslandModel_1000P[[#This Row],[Input 5 Consumed]]</f>
        <v>0</v>
      </c>
      <c r="CY87" s="42">
        <f>IslandModel_1000P[[#This Row],[Input 6]]</f>
        <v>0</v>
      </c>
      <c r="CZ87" s="42">
        <f>-IslandModel_1000P[[#This Row],[Input 6 Consumed]]</f>
        <v>0</v>
      </c>
      <c r="DA87" s="42">
        <f>IslandModel_1000P[[#This Row],[Input 7]]</f>
        <v>0</v>
      </c>
      <c r="DB87" s="42">
        <f>-IslandModel_1000P[[#This Row],[Input 7 Consumed]]</f>
        <v>0</v>
      </c>
      <c r="DC87" s="42">
        <f>IslandModel_1000P[[#This Row],[Input 8]]</f>
        <v>0</v>
      </c>
      <c r="DD87" s="42">
        <f>-IslandModel_1000P[[#This Row],[Input 8 Consumed]]</f>
        <v>0</v>
      </c>
      <c r="DE87" s="42">
        <f>IslandModel_1000P[[#This Row],[Input 9]]</f>
        <v>0</v>
      </c>
      <c r="DF87" s="42">
        <f>-IslandModel_1000P[[#This Row],[Input 9 Consumed]]</f>
        <v>0</v>
      </c>
      <c r="DG87" s="42">
        <f>IslandModel_1000P[[#This Row],[Input 10]]</f>
        <v>0</v>
      </c>
      <c r="DH87" s="42">
        <f>-IslandModel_1000P[[#This Row],[Input 10 Consumed]]</f>
        <v>0</v>
      </c>
      <c r="DJ87" s="55" t="s">
        <v>127</v>
      </c>
      <c r="DK87" s="39">
        <f>SUM(SUMIFS(IslandModel_1000P[Resource 1 Qty],IslandModel_1000P[Resource 1],ResourceAvailable_1000P[[#This Row],[Resource]]))</f>
        <v>0</v>
      </c>
      <c r="DL87"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87" s="39">
        <f>ResourceAvailable_1000P[[#This Row],[Amount Produced]]-ResourceAvailable_1000P[[#This Row],[Amount Consumed]]</f>
        <v>0</v>
      </c>
      <c r="DN87" s="20">
        <f>MAX(0,ResourceAvailable_1000P[[#This Row],[Amount Available for Resident Consumption]]-SUMIFS(ConsumptionModel_1000P[Resource Demand],ConsumptionModel_1000P[Resource],ResourceAvailable_1000P[[#This Row],[Resource]]))</f>
        <v>0</v>
      </c>
    </row>
    <row r="88" spans="29:118" ht="21" x14ac:dyDescent="0.65">
      <c r="AC88" s="103" t="s">
        <v>374</v>
      </c>
      <c r="AD88" s="83">
        <f>ROW()</f>
        <v>88</v>
      </c>
      <c r="AE88" s="74">
        <v>5</v>
      </c>
      <c r="AF88" s="50" t="s">
        <v>168</v>
      </c>
      <c r="AG88" s="18"/>
      <c r="AH88" s="74">
        <v>5</v>
      </c>
      <c r="AI88" s="156">
        <f>IFERROR(IslandModel_1000P[[#This Row],[Quantity]]/IslandModel_1000P[[#This Row],[Target Quantity]],0)</f>
        <v>1</v>
      </c>
      <c r="AJ88" s="61" t="str">
        <f>IFERROR(INDEX(Production[Resource Produced],MATCH(IslandModel_1000P[[#This Row],[Building]],Production[Building],0)),"")</f>
        <v>Gold Ore</v>
      </c>
      <c r="AK88" s="99">
        <f>IFERROR(IslandModel_1000P[[#This Row],[Quantity]]*INDEX(Production[Production in 1h],MATCH(IslandModel_1000P[[#This Row],[Building]],Production[Building],0))*IslandModel_1000P[[#This Row],[Input Consumption Multiplier]],0)</f>
        <v>75</v>
      </c>
      <c r="AL88" s="115">
        <f>100%</f>
        <v>1</v>
      </c>
      <c r="AM88"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88" s="77" t="str">
        <f>IFERROR(INDEX(Production[Input 1],MATCH(IslandModel_1000P[[#This Row],[Building]],Production[Building],0)),"")</f>
        <v>Mountain tile</v>
      </c>
      <c r="AO88" s="78"/>
      <c r="AP88"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5</v>
      </c>
      <c r="AQ88"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315</v>
      </c>
      <c r="AR88"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5</v>
      </c>
      <c r="AS88" s="35">
        <f>IFERROR(INDEX(Production[Input 2],MATCH(IslandModel_1000P[[#This Row],[Building]],Production[Building],0)),"")</f>
        <v>0</v>
      </c>
      <c r="AT88" s="78"/>
      <c r="AU88"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88"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88"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88" s="35">
        <f>IFERROR(INDEX(Production[Input 3],MATCH(IslandModel_1000P[[#This Row],[Building]],Production[Building],0)),"")</f>
        <v>0</v>
      </c>
      <c r="AY88" s="78"/>
      <c r="AZ88"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88"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88"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88" s="35">
        <f>IFERROR(INDEX(Production[Input 4],MATCH(IslandModel_1000P[[#This Row],[Building]],Production[Building],0)),"")</f>
        <v>0</v>
      </c>
      <c r="BD88" s="78"/>
      <c r="BE88"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88"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88"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88" s="35">
        <f>IFERROR(INDEX(Production[Input 5],MATCH(IslandModel_1000P[[#This Row],[Building]],Production[Building],0)),"")</f>
        <v>0</v>
      </c>
      <c r="BI88" s="78"/>
      <c r="BJ88"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88"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88"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88" s="35">
        <f>IFERROR(INDEX(Production[Input 6],MATCH(IslandModel_1000P[[#This Row],[Building]],Production[Building],0)),"")</f>
        <v>0</v>
      </c>
      <c r="BN88" s="78"/>
      <c r="BO88"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88"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88"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88" s="35">
        <f>IFERROR(INDEX(Production[Input 7],MATCH(IslandModel_1000P[[#This Row],[Building]],Production[Building],0)),"")</f>
        <v>0</v>
      </c>
      <c r="BS88" s="78"/>
      <c r="BT88"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88"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88"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88" s="35">
        <f>IFERROR(INDEX(Production[Input 8],MATCH(IslandModel_1000P[[#This Row],[Building]],Production[Building],0)),"")</f>
        <v>0</v>
      </c>
      <c r="BX88" s="78"/>
      <c r="BY88"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88"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88"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88" s="35">
        <f>IFERROR(INDEX(Production[Input 9],MATCH(IslandModel_1000P[[#This Row],[Building]],Production[Building],0)),"")</f>
        <v>0</v>
      </c>
      <c r="CC88" s="78"/>
      <c r="CD88"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88"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88"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88" s="35">
        <f>IFERROR(INDEX(Production[Input 10],MATCH(IslandModel_1000P[[#This Row],[Building]],Production[Building],0)),"")</f>
        <v>0</v>
      </c>
      <c r="CH88" s="78"/>
      <c r="CI88"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88"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88"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88"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88" s="82" t="str">
        <f>IslandModel_1000P[[#This Row],[Resource Produced]]</f>
        <v>Gold Ore</v>
      </c>
      <c r="CN88" s="42">
        <f>IslandModel_1000P[[#This Row],[Amount produced/h]]</f>
        <v>75</v>
      </c>
      <c r="CO88" s="42" t="str">
        <f>IslandModel_1000P[[#This Row],[Input 1]]</f>
        <v>Mountain tile</v>
      </c>
      <c r="CP88" s="42">
        <f>-IslandModel_1000P[[#This Row],[Input 1 Consumed]]</f>
        <v>-5</v>
      </c>
      <c r="CQ88" s="42">
        <f>IslandModel_1000P[[#This Row],[Input 2]]</f>
        <v>0</v>
      </c>
      <c r="CR88" s="42">
        <f>-IslandModel_1000P[[#This Row],[Input 2 Consumed]]</f>
        <v>0</v>
      </c>
      <c r="CS88" s="42">
        <f>IslandModel_1000P[[#This Row],[Input 3]]</f>
        <v>0</v>
      </c>
      <c r="CT88" s="42">
        <f>-IslandModel_1000P[[#This Row],[Input 3 Consumed]]</f>
        <v>0</v>
      </c>
      <c r="CU88" s="42">
        <f>IslandModel_1000P[[#This Row],[Input 4]]</f>
        <v>0</v>
      </c>
      <c r="CV88" s="42">
        <f>-IslandModel_1000P[[#This Row],[Input 4 Consumed]]</f>
        <v>0</v>
      </c>
      <c r="CW88" s="42">
        <f>IslandModel_1000P[[#This Row],[Input 5]]</f>
        <v>0</v>
      </c>
      <c r="CX88" s="42">
        <f>-IslandModel_1000P[[#This Row],[Input 5 Consumed]]</f>
        <v>0</v>
      </c>
      <c r="CY88" s="42">
        <f>IslandModel_1000P[[#This Row],[Input 6]]</f>
        <v>0</v>
      </c>
      <c r="CZ88" s="42">
        <f>-IslandModel_1000P[[#This Row],[Input 6 Consumed]]</f>
        <v>0</v>
      </c>
      <c r="DA88" s="42">
        <f>IslandModel_1000P[[#This Row],[Input 7]]</f>
        <v>0</v>
      </c>
      <c r="DB88" s="42">
        <f>-IslandModel_1000P[[#This Row],[Input 7 Consumed]]</f>
        <v>0</v>
      </c>
      <c r="DC88" s="42">
        <f>IslandModel_1000P[[#This Row],[Input 8]]</f>
        <v>0</v>
      </c>
      <c r="DD88" s="42">
        <f>-IslandModel_1000P[[#This Row],[Input 8 Consumed]]</f>
        <v>0</v>
      </c>
      <c r="DE88" s="42">
        <f>IslandModel_1000P[[#This Row],[Input 9]]</f>
        <v>0</v>
      </c>
      <c r="DF88" s="42">
        <f>-IslandModel_1000P[[#This Row],[Input 9 Consumed]]</f>
        <v>0</v>
      </c>
      <c r="DG88" s="42">
        <f>IslandModel_1000P[[#This Row],[Input 10]]</f>
        <v>0</v>
      </c>
      <c r="DH88" s="42">
        <f>-IslandModel_1000P[[#This Row],[Input 10 Consumed]]</f>
        <v>0</v>
      </c>
      <c r="DJ88" s="69" t="s">
        <v>15</v>
      </c>
      <c r="DK88" s="39">
        <f>SUM(SUMIFS(IslandModel_1000P[Resource 1 Qty],IslandModel_1000P[Resource 1],ResourceAvailable_1000P[[#This Row],[Resource]]))</f>
        <v>0</v>
      </c>
      <c r="DL88"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88" s="39">
        <f>ResourceAvailable_1000P[[#This Row],[Amount Produced]]-ResourceAvailable_1000P[[#This Row],[Amount Consumed]]</f>
        <v>0</v>
      </c>
      <c r="DN88" s="20">
        <f>MAX(0,ResourceAvailable_1000P[[#This Row],[Amount Available for Resident Consumption]]-SUMIFS(ConsumptionModel_1000P[Resource Demand],ConsumptionModel_1000P[Resource],ResourceAvailable_1000P[[#This Row],[Resource]]))</f>
        <v>0</v>
      </c>
    </row>
    <row r="89" spans="29:118" ht="21" x14ac:dyDescent="0.65">
      <c r="AC89" s="103" t="s">
        <v>374</v>
      </c>
      <c r="AD89" s="83">
        <f>ROW()</f>
        <v>89</v>
      </c>
      <c r="AE89" s="74">
        <v>9</v>
      </c>
      <c r="AF89" s="50" t="s">
        <v>170</v>
      </c>
      <c r="AG89" s="18"/>
      <c r="AH89" s="74">
        <v>9</v>
      </c>
      <c r="AI89" s="156">
        <f>IFERROR(IslandModel_1000P[[#This Row],[Quantity]]/IslandModel_1000P[[#This Row],[Target Quantity]],0)</f>
        <v>1</v>
      </c>
      <c r="AJ89" s="61" t="str">
        <f>IFERROR(INDEX(Production[Resource Produced],MATCH(IslandModel_1000P[[#This Row],[Building]],Production[Building],0)),"")</f>
        <v>Gold Ingot</v>
      </c>
      <c r="AK89" s="99">
        <f>IFERROR(IslandModel_1000P[[#This Row],[Quantity]]*INDEX(Production[Production in 1h],MATCH(IslandModel_1000P[[#This Row],[Building]],Production[Building],0))*IslandModel_1000P[[#This Row],[Input Consumption Multiplier]],0)</f>
        <v>67.5</v>
      </c>
      <c r="AL89" s="115">
        <f>100%</f>
        <v>1</v>
      </c>
      <c r="AM89"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89" s="77" t="str">
        <f>IFERROR(INDEX(Production[Input 1],MATCH(IslandModel_1000P[[#This Row],[Building]],Production[Building],0)),"")</f>
        <v>Land tile</v>
      </c>
      <c r="AO89" s="78"/>
      <c r="AP89"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9</v>
      </c>
      <c r="AQ89"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1336.1458333333333</v>
      </c>
      <c r="AR89"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9</v>
      </c>
      <c r="AS89" s="35" t="str">
        <f>IFERROR(INDEX(Production[Input 2],MATCH(IslandModel_1000P[[#This Row],[Building]],Production[Building],0)),"")</f>
        <v>Coal</v>
      </c>
      <c r="AT89" s="78"/>
      <c r="AU89"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33.75</v>
      </c>
      <c r="AV89"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60</v>
      </c>
      <c r="AW89"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33.75</v>
      </c>
      <c r="AX89" s="35" t="str">
        <f>IFERROR(INDEX(Production[Input 3],MATCH(IslandModel_1000P[[#This Row],[Building]],Production[Building],0)),"")</f>
        <v>Gold Ore</v>
      </c>
      <c r="AY89" s="78"/>
      <c r="AZ89"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67.5</v>
      </c>
      <c r="BA89"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75</v>
      </c>
      <c r="BB89"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67.5</v>
      </c>
      <c r="BC89" s="35">
        <f>IFERROR(INDEX(Production[Input 4],MATCH(IslandModel_1000P[[#This Row],[Building]],Production[Building],0)),"")</f>
        <v>0</v>
      </c>
      <c r="BD89" s="78"/>
      <c r="BE89"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89"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89"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89" s="35">
        <f>IFERROR(INDEX(Production[Input 5],MATCH(IslandModel_1000P[[#This Row],[Building]],Production[Building],0)),"")</f>
        <v>0</v>
      </c>
      <c r="BI89" s="78"/>
      <c r="BJ89"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89"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89"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89" s="35">
        <f>IFERROR(INDEX(Production[Input 6],MATCH(IslandModel_1000P[[#This Row],[Building]],Production[Building],0)),"")</f>
        <v>0</v>
      </c>
      <c r="BN89" s="78"/>
      <c r="BO89"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89"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89"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89" s="35">
        <f>IFERROR(INDEX(Production[Input 7],MATCH(IslandModel_1000P[[#This Row],[Building]],Production[Building],0)),"")</f>
        <v>0</v>
      </c>
      <c r="BS89" s="78"/>
      <c r="BT89"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89"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89"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89" s="35">
        <f>IFERROR(INDEX(Production[Input 8],MATCH(IslandModel_1000P[[#This Row],[Building]],Production[Building],0)),"")</f>
        <v>0</v>
      </c>
      <c r="BX89" s="78"/>
      <c r="BY89"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89"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89"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89" s="35">
        <f>IFERROR(INDEX(Production[Input 9],MATCH(IslandModel_1000P[[#This Row],[Building]],Production[Building],0)),"")</f>
        <v>0</v>
      </c>
      <c r="CC89" s="78"/>
      <c r="CD89"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89"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89"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89" s="35">
        <f>IFERROR(INDEX(Production[Input 10],MATCH(IslandModel_1000P[[#This Row],[Building]],Production[Building],0)),"")</f>
        <v>0</v>
      </c>
      <c r="CH89" s="78"/>
      <c r="CI89"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89"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89"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89"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89" s="82" t="str">
        <f>IslandModel_1000P[[#This Row],[Resource Produced]]</f>
        <v>Gold Ingot</v>
      </c>
      <c r="CN89" s="42">
        <f>IslandModel_1000P[[#This Row],[Amount produced/h]]</f>
        <v>67.5</v>
      </c>
      <c r="CO89" s="42" t="str">
        <f>IslandModel_1000P[[#This Row],[Input 1]]</f>
        <v>Land tile</v>
      </c>
      <c r="CP89" s="42">
        <f>-IslandModel_1000P[[#This Row],[Input 1 Consumed]]</f>
        <v>-9</v>
      </c>
      <c r="CQ89" s="42" t="str">
        <f>IslandModel_1000P[[#This Row],[Input 2]]</f>
        <v>Coal</v>
      </c>
      <c r="CR89" s="42">
        <f>-IslandModel_1000P[[#This Row],[Input 2 Consumed]]</f>
        <v>-33.75</v>
      </c>
      <c r="CS89" s="42" t="str">
        <f>IslandModel_1000P[[#This Row],[Input 3]]</f>
        <v>Gold Ore</v>
      </c>
      <c r="CT89" s="42">
        <f>-IslandModel_1000P[[#This Row],[Input 3 Consumed]]</f>
        <v>-67.5</v>
      </c>
      <c r="CU89" s="42">
        <f>IslandModel_1000P[[#This Row],[Input 4]]</f>
        <v>0</v>
      </c>
      <c r="CV89" s="42">
        <f>-IslandModel_1000P[[#This Row],[Input 4 Consumed]]</f>
        <v>0</v>
      </c>
      <c r="CW89" s="42">
        <f>IslandModel_1000P[[#This Row],[Input 5]]</f>
        <v>0</v>
      </c>
      <c r="CX89" s="42">
        <f>-IslandModel_1000P[[#This Row],[Input 5 Consumed]]</f>
        <v>0</v>
      </c>
      <c r="CY89" s="42">
        <f>IslandModel_1000P[[#This Row],[Input 6]]</f>
        <v>0</v>
      </c>
      <c r="CZ89" s="42">
        <f>-IslandModel_1000P[[#This Row],[Input 6 Consumed]]</f>
        <v>0</v>
      </c>
      <c r="DA89" s="42">
        <f>IslandModel_1000P[[#This Row],[Input 7]]</f>
        <v>0</v>
      </c>
      <c r="DB89" s="42">
        <f>-IslandModel_1000P[[#This Row],[Input 7 Consumed]]</f>
        <v>0</v>
      </c>
      <c r="DC89" s="42">
        <f>IslandModel_1000P[[#This Row],[Input 8]]</f>
        <v>0</v>
      </c>
      <c r="DD89" s="42">
        <f>-IslandModel_1000P[[#This Row],[Input 8 Consumed]]</f>
        <v>0</v>
      </c>
      <c r="DE89" s="42">
        <f>IslandModel_1000P[[#This Row],[Input 9]]</f>
        <v>0</v>
      </c>
      <c r="DF89" s="42">
        <f>-IslandModel_1000P[[#This Row],[Input 9 Consumed]]</f>
        <v>0</v>
      </c>
      <c r="DG89" s="42">
        <f>IslandModel_1000P[[#This Row],[Input 10]]</f>
        <v>0</v>
      </c>
      <c r="DH89" s="42">
        <f>-IslandModel_1000P[[#This Row],[Input 10 Consumed]]</f>
        <v>0</v>
      </c>
      <c r="DJ89" s="69" t="s">
        <v>143</v>
      </c>
      <c r="DK89" s="39">
        <f>SUM(SUMIFS(IslandModel_1000P[Resource 1 Qty],IslandModel_1000P[Resource 1],ResourceAvailable_1000P[[#This Row],[Resource]]))</f>
        <v>165</v>
      </c>
      <c r="DL89"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160</v>
      </c>
      <c r="DM89" s="39">
        <f>ResourceAvailable_1000P[[#This Row],[Amount Produced]]-ResourceAvailable_1000P[[#This Row],[Amount Consumed]]</f>
        <v>5</v>
      </c>
      <c r="DN89" s="20">
        <f>MAX(0,ResourceAvailable_1000P[[#This Row],[Amount Available for Resident Consumption]]-SUMIFS(ConsumptionModel_1000P[Resource Demand],ConsumptionModel_1000P[Resource],ResourceAvailable_1000P[[#This Row],[Resource]]))</f>
        <v>5</v>
      </c>
    </row>
    <row r="90" spans="29:118" ht="21" x14ac:dyDescent="0.65">
      <c r="AC90" s="103" t="s">
        <v>374</v>
      </c>
      <c r="AD90" s="83">
        <f>ROW()</f>
        <v>90</v>
      </c>
      <c r="AE90" s="74">
        <v>4</v>
      </c>
      <c r="AF90" s="50" t="s">
        <v>420</v>
      </c>
      <c r="AG90" s="18"/>
      <c r="AH90" s="74">
        <v>4</v>
      </c>
      <c r="AI90" s="156">
        <f>IFERROR(IslandModel_1000P[[#This Row],[Quantity]]/IslandModel_1000P[[#This Row],[Target Quantity]],0)</f>
        <v>1</v>
      </c>
      <c r="AJ90" s="61" t="str">
        <f>IFERROR(INDEX(Production[Resource Produced],MATCH(IslandModel_1000P[[#This Row],[Building]],Production[Building],0)),"")</f>
        <v>Gem</v>
      </c>
      <c r="AK90" s="99">
        <f>IFERROR(IslandModel_1000P[[#This Row],[Quantity]]*INDEX(Production[Production in 1h],MATCH(IslandModel_1000P[[#This Row],[Building]],Production[Building],0))*IslandModel_1000P[[#This Row],[Input Consumption Multiplier]],0)</f>
        <v>80</v>
      </c>
      <c r="AL90" s="115">
        <f>100%</f>
        <v>1</v>
      </c>
      <c r="AM90"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90" s="77" t="str">
        <f>IFERROR(INDEX(Production[Input 1],MATCH(IslandModel_1000P[[#This Row],[Building]],Production[Building],0)),"")</f>
        <v>Mountain tile</v>
      </c>
      <c r="AO90" s="78"/>
      <c r="AP90"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4</v>
      </c>
      <c r="AQ90"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310</v>
      </c>
      <c r="AR90"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4</v>
      </c>
      <c r="AS90" s="35">
        <f>IFERROR(INDEX(Production[Input 2],MATCH(IslandModel_1000P[[#This Row],[Building]],Production[Building],0)),"")</f>
        <v>0</v>
      </c>
      <c r="AT90" s="78"/>
      <c r="AU90"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90"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90"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90" s="35">
        <f>IFERROR(INDEX(Production[Input 3],MATCH(IslandModel_1000P[[#This Row],[Building]],Production[Building],0)),"")</f>
        <v>0</v>
      </c>
      <c r="AY90" s="78"/>
      <c r="AZ90"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90"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90"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90" s="35">
        <f>IFERROR(INDEX(Production[Input 4],MATCH(IslandModel_1000P[[#This Row],[Building]],Production[Building],0)),"")</f>
        <v>0</v>
      </c>
      <c r="BD90" s="78"/>
      <c r="BE90"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90"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90"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90" s="35">
        <f>IFERROR(INDEX(Production[Input 5],MATCH(IslandModel_1000P[[#This Row],[Building]],Production[Building],0)),"")</f>
        <v>0</v>
      </c>
      <c r="BI90" s="78"/>
      <c r="BJ90"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90"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90"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90" s="35">
        <f>IFERROR(INDEX(Production[Input 6],MATCH(IslandModel_1000P[[#This Row],[Building]],Production[Building],0)),"")</f>
        <v>0</v>
      </c>
      <c r="BN90" s="78"/>
      <c r="BO90"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90"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90"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90" s="35">
        <f>IFERROR(INDEX(Production[Input 7],MATCH(IslandModel_1000P[[#This Row],[Building]],Production[Building],0)),"")</f>
        <v>0</v>
      </c>
      <c r="BS90" s="78"/>
      <c r="BT90"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90"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90"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90" s="35">
        <f>IFERROR(INDEX(Production[Input 8],MATCH(IslandModel_1000P[[#This Row],[Building]],Production[Building],0)),"")</f>
        <v>0</v>
      </c>
      <c r="BX90" s="78"/>
      <c r="BY90"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90"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90"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90" s="35">
        <f>IFERROR(INDEX(Production[Input 9],MATCH(IslandModel_1000P[[#This Row],[Building]],Production[Building],0)),"")</f>
        <v>0</v>
      </c>
      <c r="CC90" s="78"/>
      <c r="CD90"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90"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90"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90" s="35">
        <f>IFERROR(INDEX(Production[Input 10],MATCH(IslandModel_1000P[[#This Row],[Building]],Production[Building],0)),"")</f>
        <v>0</v>
      </c>
      <c r="CH90" s="78"/>
      <c r="CI90"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90"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90"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90"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90" s="82" t="str">
        <f>IslandModel_1000P[[#This Row],[Resource Produced]]</f>
        <v>Gem</v>
      </c>
      <c r="CN90" s="42">
        <f>IslandModel_1000P[[#This Row],[Amount produced/h]]</f>
        <v>80</v>
      </c>
      <c r="CO90" s="42" t="str">
        <f>IslandModel_1000P[[#This Row],[Input 1]]</f>
        <v>Mountain tile</v>
      </c>
      <c r="CP90" s="42">
        <f>-IslandModel_1000P[[#This Row],[Input 1 Consumed]]</f>
        <v>-4</v>
      </c>
      <c r="CQ90" s="42">
        <f>IslandModel_1000P[[#This Row],[Input 2]]</f>
        <v>0</v>
      </c>
      <c r="CR90" s="42">
        <f>-IslandModel_1000P[[#This Row],[Input 2 Consumed]]</f>
        <v>0</v>
      </c>
      <c r="CS90" s="42">
        <f>IslandModel_1000P[[#This Row],[Input 3]]</f>
        <v>0</v>
      </c>
      <c r="CT90" s="42">
        <f>-IslandModel_1000P[[#This Row],[Input 3 Consumed]]</f>
        <v>0</v>
      </c>
      <c r="CU90" s="42">
        <f>IslandModel_1000P[[#This Row],[Input 4]]</f>
        <v>0</v>
      </c>
      <c r="CV90" s="42">
        <f>-IslandModel_1000P[[#This Row],[Input 4 Consumed]]</f>
        <v>0</v>
      </c>
      <c r="CW90" s="42">
        <f>IslandModel_1000P[[#This Row],[Input 5]]</f>
        <v>0</v>
      </c>
      <c r="CX90" s="42">
        <f>-IslandModel_1000P[[#This Row],[Input 5 Consumed]]</f>
        <v>0</v>
      </c>
      <c r="CY90" s="42">
        <f>IslandModel_1000P[[#This Row],[Input 6]]</f>
        <v>0</v>
      </c>
      <c r="CZ90" s="42">
        <f>-IslandModel_1000P[[#This Row],[Input 6 Consumed]]</f>
        <v>0</v>
      </c>
      <c r="DA90" s="42">
        <f>IslandModel_1000P[[#This Row],[Input 7]]</f>
        <v>0</v>
      </c>
      <c r="DB90" s="42">
        <f>-IslandModel_1000P[[#This Row],[Input 7 Consumed]]</f>
        <v>0</v>
      </c>
      <c r="DC90" s="42">
        <f>IslandModel_1000P[[#This Row],[Input 8]]</f>
        <v>0</v>
      </c>
      <c r="DD90" s="42">
        <f>-IslandModel_1000P[[#This Row],[Input 8 Consumed]]</f>
        <v>0</v>
      </c>
      <c r="DE90" s="42">
        <f>IslandModel_1000P[[#This Row],[Input 9]]</f>
        <v>0</v>
      </c>
      <c r="DF90" s="42">
        <f>-IslandModel_1000P[[#This Row],[Input 9 Consumed]]</f>
        <v>0</v>
      </c>
      <c r="DG90" s="42">
        <f>IslandModel_1000P[[#This Row],[Input 10]]</f>
        <v>0</v>
      </c>
      <c r="DH90" s="42">
        <f>-IslandModel_1000P[[#This Row],[Input 10 Consumed]]</f>
        <v>0</v>
      </c>
      <c r="DJ90" s="69" t="s">
        <v>180</v>
      </c>
      <c r="DK90" s="39">
        <f>SUM(SUMIFS(IslandModel_1000P[Resource 1 Qty],IslandModel_1000P[Resource 1],ResourceAvailable_1000P[[#This Row],[Resource]]))</f>
        <v>0</v>
      </c>
      <c r="DL90"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90" s="39">
        <f>ResourceAvailable_1000P[[#This Row],[Amount Produced]]-ResourceAvailable_1000P[[#This Row],[Amount Consumed]]</f>
        <v>0</v>
      </c>
      <c r="DN90" s="58">
        <f>MAX(0,ResourceAvailable_1000P[[#This Row],[Amount Available for Resident Consumption]]-SUMIFS(ConsumptionModel_1000P[Resource Demand],ConsumptionModel_1000P[Resource],ResourceAvailable_1000P[[#This Row],[Resource]]))</f>
        <v>0</v>
      </c>
    </row>
    <row r="91" spans="29:118" ht="21" x14ac:dyDescent="0.65">
      <c r="AC91" s="103" t="s">
        <v>374</v>
      </c>
      <c r="AD91" s="83">
        <f>ROW()</f>
        <v>91</v>
      </c>
      <c r="AE91" s="74">
        <v>9</v>
      </c>
      <c r="AF91" s="50" t="s">
        <v>424</v>
      </c>
      <c r="AG91" s="18"/>
      <c r="AH91" s="74">
        <v>9</v>
      </c>
      <c r="AI91" s="156">
        <f>IFERROR(IslandModel_1000P[[#This Row],[Quantity]]/IslandModel_1000P[[#This Row],[Target Quantity]],0)</f>
        <v>1</v>
      </c>
      <c r="AJ91" s="61" t="str">
        <f>IFERROR(INDEX(Production[Resource Produced],MATCH(IslandModel_1000P[[#This Row],[Building]],Production[Building],0)),"")</f>
        <v>Goblet</v>
      </c>
      <c r="AK91" s="99">
        <f>IFERROR(IslandModel_1000P[[#This Row],[Quantity]]*INDEX(Production[Production in 1h],MATCH(IslandModel_1000P[[#This Row],[Building]],Production[Building],0))*IslandModel_1000P[[#This Row],[Input Consumption Multiplier]],0)</f>
        <v>135</v>
      </c>
      <c r="AL91" s="115">
        <f>100%</f>
        <v>1</v>
      </c>
      <c r="AM91"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91" s="77" t="str">
        <f>IFERROR(INDEX(Production[Input 1],MATCH(IslandModel_1000P[[#This Row],[Building]],Production[Building],0)),"")</f>
        <v>Land tile</v>
      </c>
      <c r="AO91" s="78"/>
      <c r="AP91"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9</v>
      </c>
      <c r="AQ91"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1327.1458333333333</v>
      </c>
      <c r="AR91"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9</v>
      </c>
      <c r="AS91" s="35" t="str">
        <f>IFERROR(INDEX(Production[Input 2],MATCH(IslandModel_1000P[[#This Row],[Building]],Production[Building],0)),"")</f>
        <v>Gold Ingot</v>
      </c>
      <c r="AT91" s="78"/>
      <c r="AU91"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67.5</v>
      </c>
      <c r="AV91"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67.5</v>
      </c>
      <c r="AW91"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67.5</v>
      </c>
      <c r="AX91" s="35" t="str">
        <f>IFERROR(INDEX(Production[Input 3],MATCH(IslandModel_1000P[[#This Row],[Building]],Production[Building],0)),"")</f>
        <v>Gem</v>
      </c>
      <c r="AY91" s="78"/>
      <c r="AZ91"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67.5</v>
      </c>
      <c r="BA91"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80</v>
      </c>
      <c r="BB91"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67.5</v>
      </c>
      <c r="BC91" s="35">
        <f>IFERROR(INDEX(Production[Input 4],MATCH(IslandModel_1000P[[#This Row],[Building]],Production[Building],0)),"")</f>
        <v>0</v>
      </c>
      <c r="BD91" s="78"/>
      <c r="BE91"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91"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91"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91" s="35">
        <f>IFERROR(INDEX(Production[Input 5],MATCH(IslandModel_1000P[[#This Row],[Building]],Production[Building],0)),"")</f>
        <v>0</v>
      </c>
      <c r="BI91" s="78"/>
      <c r="BJ91"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91"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91"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91" s="35">
        <f>IFERROR(INDEX(Production[Input 6],MATCH(IslandModel_1000P[[#This Row],[Building]],Production[Building],0)),"")</f>
        <v>0</v>
      </c>
      <c r="BN91" s="78"/>
      <c r="BO91"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91"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91"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91" s="35">
        <f>IFERROR(INDEX(Production[Input 7],MATCH(IslandModel_1000P[[#This Row],[Building]],Production[Building],0)),"")</f>
        <v>0</v>
      </c>
      <c r="BS91" s="78"/>
      <c r="BT91"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91"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91"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91" s="35">
        <f>IFERROR(INDEX(Production[Input 8],MATCH(IslandModel_1000P[[#This Row],[Building]],Production[Building],0)),"")</f>
        <v>0</v>
      </c>
      <c r="BX91" s="78"/>
      <c r="BY91"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91"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91"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91" s="35">
        <f>IFERROR(INDEX(Production[Input 9],MATCH(IslandModel_1000P[[#This Row],[Building]],Production[Building],0)),"")</f>
        <v>0</v>
      </c>
      <c r="CC91" s="78"/>
      <c r="CD91"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91"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91"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91" s="35">
        <f>IFERROR(INDEX(Production[Input 10],MATCH(IslandModel_1000P[[#This Row],[Building]],Production[Building],0)),"")</f>
        <v>0</v>
      </c>
      <c r="CH91" s="78"/>
      <c r="CI91"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91"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91"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91"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91" s="82" t="str">
        <f>IslandModel_1000P[[#This Row],[Resource Produced]]</f>
        <v>Goblet</v>
      </c>
      <c r="CN91" s="42">
        <f>IslandModel_1000P[[#This Row],[Amount produced/h]]</f>
        <v>135</v>
      </c>
      <c r="CO91" s="42" t="str">
        <f>IslandModel_1000P[[#This Row],[Input 1]]</f>
        <v>Land tile</v>
      </c>
      <c r="CP91" s="42">
        <f>-IslandModel_1000P[[#This Row],[Input 1 Consumed]]</f>
        <v>-9</v>
      </c>
      <c r="CQ91" s="42" t="str">
        <f>IslandModel_1000P[[#This Row],[Input 2]]</f>
        <v>Gold Ingot</v>
      </c>
      <c r="CR91" s="42">
        <f>-IslandModel_1000P[[#This Row],[Input 2 Consumed]]</f>
        <v>-67.5</v>
      </c>
      <c r="CS91" s="42" t="str">
        <f>IslandModel_1000P[[#This Row],[Input 3]]</f>
        <v>Gem</v>
      </c>
      <c r="CT91" s="42">
        <f>-IslandModel_1000P[[#This Row],[Input 3 Consumed]]</f>
        <v>-67.5</v>
      </c>
      <c r="CU91" s="42">
        <f>IslandModel_1000P[[#This Row],[Input 4]]</f>
        <v>0</v>
      </c>
      <c r="CV91" s="42">
        <f>-IslandModel_1000P[[#This Row],[Input 4 Consumed]]</f>
        <v>0</v>
      </c>
      <c r="CW91" s="42">
        <f>IslandModel_1000P[[#This Row],[Input 5]]</f>
        <v>0</v>
      </c>
      <c r="CX91" s="42">
        <f>-IslandModel_1000P[[#This Row],[Input 5 Consumed]]</f>
        <v>0</v>
      </c>
      <c r="CY91" s="42">
        <f>IslandModel_1000P[[#This Row],[Input 6]]</f>
        <v>0</v>
      </c>
      <c r="CZ91" s="42">
        <f>-IslandModel_1000P[[#This Row],[Input 6 Consumed]]</f>
        <v>0</v>
      </c>
      <c r="DA91" s="42">
        <f>IslandModel_1000P[[#This Row],[Input 7]]</f>
        <v>0</v>
      </c>
      <c r="DB91" s="42">
        <f>-IslandModel_1000P[[#This Row],[Input 7 Consumed]]</f>
        <v>0</v>
      </c>
      <c r="DC91" s="42">
        <f>IslandModel_1000P[[#This Row],[Input 8]]</f>
        <v>0</v>
      </c>
      <c r="DD91" s="42">
        <f>-IslandModel_1000P[[#This Row],[Input 8 Consumed]]</f>
        <v>0</v>
      </c>
      <c r="DE91" s="42">
        <f>IslandModel_1000P[[#This Row],[Input 9]]</f>
        <v>0</v>
      </c>
      <c r="DF91" s="42">
        <f>-IslandModel_1000P[[#This Row],[Input 9 Consumed]]</f>
        <v>0</v>
      </c>
      <c r="DG91" s="42">
        <f>IslandModel_1000P[[#This Row],[Input 10]]</f>
        <v>0</v>
      </c>
      <c r="DH91" s="42">
        <f>-IslandModel_1000P[[#This Row],[Input 10 Consumed]]</f>
        <v>0</v>
      </c>
      <c r="DJ91" s="69" t="s">
        <v>167</v>
      </c>
      <c r="DK91" s="39">
        <f>SUM(SUMIFS(IslandModel_1000P[Resource 1 Qty],IslandModel_1000P[Resource 1],ResourceAvailable_1000P[[#This Row],[Resource]]))</f>
        <v>660</v>
      </c>
      <c r="DL91"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91" s="39">
        <f>ResourceAvailable_1000P[[#This Row],[Amount Produced]]-ResourceAvailable_1000P[[#This Row],[Amount Consumed]]</f>
        <v>660</v>
      </c>
      <c r="DN91" s="20">
        <f>MAX(0,ResourceAvailable_1000P[[#This Row],[Amount Available for Resident Consumption]]-SUMIFS(ConsumptionModel_1000P[Resource Demand],ConsumptionModel_1000P[Resource],ResourceAvailable_1000P[[#This Row],[Resource]]))</f>
        <v>26.399999999999977</v>
      </c>
    </row>
    <row r="92" spans="29:118" ht="21" x14ac:dyDescent="0.65">
      <c r="AC92" s="103" t="s">
        <v>660</v>
      </c>
      <c r="AD92" s="83">
        <f>ROW()</f>
        <v>92</v>
      </c>
      <c r="AE92" s="74">
        <v>25</v>
      </c>
      <c r="AF92" s="18" t="s">
        <v>68</v>
      </c>
      <c r="AG92" s="18"/>
      <c r="AH92" s="74">
        <v>25</v>
      </c>
      <c r="AI92" s="156">
        <f>IFERROR(IslandModel_1000P[[#This Row],[Quantity]]/IslandModel_1000P[[#This Row],[Target Quantity]],0)</f>
        <v>1</v>
      </c>
      <c r="AJ92" s="61" t="str">
        <f>IFERROR(INDEX(Production[Resource Produced],MATCH(IslandModel_1000P[[#This Row],[Building]],Production[Building],0)),"")</f>
        <v>Linseed Field</v>
      </c>
      <c r="AK92" s="99">
        <f>IFERROR(IslandModel_1000P[[#This Row],[Quantity]]*INDEX(Production[Production in 1h],MATCH(IslandModel_1000P[[#This Row],[Building]],Production[Building],0))*IslandModel_1000P[[#This Row],[Input Consumption Multiplier]],0)</f>
        <v>25</v>
      </c>
      <c r="AL92" s="115">
        <f>100%</f>
        <v>1</v>
      </c>
      <c r="AM92"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92" s="77" t="str">
        <f>IFERROR(INDEX(Production[Input 1],MATCH(IslandModel_1000P[[#This Row],[Building]],Production[Building],0)),"")</f>
        <v>Land tile</v>
      </c>
      <c r="AO92" s="78"/>
      <c r="AP92"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25</v>
      </c>
      <c r="AQ92"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1318.1458333333333</v>
      </c>
      <c r="AR92"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25</v>
      </c>
      <c r="AS92" s="35">
        <f>IFERROR(INDEX(Production[Input 2],MATCH(IslandModel_1000P[[#This Row],[Building]],Production[Building],0)),"")</f>
        <v>0</v>
      </c>
      <c r="AT92" s="78"/>
      <c r="AU92"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92"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92"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92" s="35">
        <f>IFERROR(INDEX(Production[Input 3],MATCH(IslandModel_1000P[[#This Row],[Building]],Production[Building],0)),"")</f>
        <v>0</v>
      </c>
      <c r="AY92" s="78"/>
      <c r="AZ92"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92"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92"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92" s="35">
        <f>IFERROR(INDEX(Production[Input 4],MATCH(IslandModel_1000P[[#This Row],[Building]],Production[Building],0)),"")</f>
        <v>0</v>
      </c>
      <c r="BD92" s="78"/>
      <c r="BE92"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92"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92"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92" s="35">
        <f>IFERROR(INDEX(Production[Input 5],MATCH(IslandModel_1000P[[#This Row],[Building]],Production[Building],0)),"")</f>
        <v>0</v>
      </c>
      <c r="BI92" s="78"/>
      <c r="BJ92"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92"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92"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92" s="35">
        <f>IFERROR(INDEX(Production[Input 6],MATCH(IslandModel_1000P[[#This Row],[Building]],Production[Building],0)),"")</f>
        <v>0</v>
      </c>
      <c r="BN92" s="78"/>
      <c r="BO92"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92"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92"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92" s="35">
        <f>IFERROR(INDEX(Production[Input 7],MATCH(IslandModel_1000P[[#This Row],[Building]],Production[Building],0)),"")</f>
        <v>0</v>
      </c>
      <c r="BS92" s="78"/>
      <c r="BT92"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92"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92"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92" s="35">
        <f>IFERROR(INDEX(Production[Input 8],MATCH(IslandModel_1000P[[#This Row],[Building]],Production[Building],0)),"")</f>
        <v>0</v>
      </c>
      <c r="BX92" s="78"/>
      <c r="BY92"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92"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92"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92" s="35">
        <f>IFERROR(INDEX(Production[Input 9],MATCH(IslandModel_1000P[[#This Row],[Building]],Production[Building],0)),"")</f>
        <v>0</v>
      </c>
      <c r="CC92" s="78"/>
      <c r="CD92"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92"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92"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92" s="35">
        <f>IFERROR(INDEX(Production[Input 10],MATCH(IslandModel_1000P[[#This Row],[Building]],Production[Building],0)),"")</f>
        <v>0</v>
      </c>
      <c r="CH92" s="78"/>
      <c r="CI92"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92"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92"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92"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92" s="82" t="str">
        <f>IslandModel_1000P[[#This Row],[Resource Produced]]</f>
        <v>Linseed Field</v>
      </c>
      <c r="CN92" s="42">
        <f>IslandModel_1000P[[#This Row],[Amount produced/h]]</f>
        <v>25</v>
      </c>
      <c r="CO92" s="42" t="str">
        <f>IslandModel_1000P[[#This Row],[Input 1]]</f>
        <v>Land tile</v>
      </c>
      <c r="CP92" s="42">
        <f>-IslandModel_1000P[[#This Row],[Input 1 Consumed]]</f>
        <v>-25</v>
      </c>
      <c r="CQ92" s="42">
        <f>IslandModel_1000P[[#This Row],[Input 2]]</f>
        <v>0</v>
      </c>
      <c r="CR92" s="42">
        <f>-IslandModel_1000P[[#This Row],[Input 2 Consumed]]</f>
        <v>0</v>
      </c>
      <c r="CS92" s="42">
        <f>IslandModel_1000P[[#This Row],[Input 3]]</f>
        <v>0</v>
      </c>
      <c r="CT92" s="42">
        <f>-IslandModel_1000P[[#This Row],[Input 3 Consumed]]</f>
        <v>0</v>
      </c>
      <c r="CU92" s="42">
        <f>IslandModel_1000P[[#This Row],[Input 4]]</f>
        <v>0</v>
      </c>
      <c r="CV92" s="42">
        <f>-IslandModel_1000P[[#This Row],[Input 4 Consumed]]</f>
        <v>0</v>
      </c>
      <c r="CW92" s="42">
        <f>IslandModel_1000P[[#This Row],[Input 5]]</f>
        <v>0</v>
      </c>
      <c r="CX92" s="42">
        <f>-IslandModel_1000P[[#This Row],[Input 5 Consumed]]</f>
        <v>0</v>
      </c>
      <c r="CY92" s="42">
        <f>IslandModel_1000P[[#This Row],[Input 6]]</f>
        <v>0</v>
      </c>
      <c r="CZ92" s="42">
        <f>-IslandModel_1000P[[#This Row],[Input 6 Consumed]]</f>
        <v>0</v>
      </c>
      <c r="DA92" s="42">
        <f>IslandModel_1000P[[#This Row],[Input 7]]</f>
        <v>0</v>
      </c>
      <c r="DB92" s="42">
        <f>-IslandModel_1000P[[#This Row],[Input 7 Consumed]]</f>
        <v>0</v>
      </c>
      <c r="DC92" s="42">
        <f>IslandModel_1000P[[#This Row],[Input 8]]</f>
        <v>0</v>
      </c>
      <c r="DD92" s="42">
        <f>-IslandModel_1000P[[#This Row],[Input 8 Consumed]]</f>
        <v>0</v>
      </c>
      <c r="DE92" s="42">
        <f>IslandModel_1000P[[#This Row],[Input 9]]</f>
        <v>0</v>
      </c>
      <c r="DF92" s="42">
        <f>-IslandModel_1000P[[#This Row],[Input 9 Consumed]]</f>
        <v>0</v>
      </c>
      <c r="DG92" s="42">
        <f>IslandModel_1000P[[#This Row],[Input 10]]</f>
        <v>0</v>
      </c>
      <c r="DH92" s="42">
        <f>-IslandModel_1000P[[#This Row],[Input 10 Consumed]]</f>
        <v>0</v>
      </c>
      <c r="DJ92" s="69" t="s">
        <v>152</v>
      </c>
      <c r="DK92" s="39">
        <f>SUM(SUMIFS(IslandModel_1000P[Resource 1 Qty],IslandModel_1000P[Resource 1],ResourceAvailable_1000P[[#This Row],[Resource]]))</f>
        <v>3</v>
      </c>
      <c r="DL92"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92" s="39">
        <f>ResourceAvailable_1000P[[#This Row],[Amount Produced]]-ResourceAvailable_1000P[[#This Row],[Amount Consumed]]</f>
        <v>3</v>
      </c>
      <c r="DN92" s="20">
        <f>MAX(0,ResourceAvailable_1000P[[#This Row],[Amount Available for Resident Consumption]]-SUMIFS(ConsumptionModel_1000P[Resource Demand],ConsumptionModel_1000P[Resource],ResourceAvailable_1000P[[#This Row],[Resource]]))</f>
        <v>3</v>
      </c>
    </row>
    <row r="93" spans="29:118" ht="30" x14ac:dyDescent="0.65">
      <c r="AC93" s="103" t="s">
        <v>660</v>
      </c>
      <c r="AD93" s="83">
        <f>ROW()</f>
        <v>93</v>
      </c>
      <c r="AE93" s="74">
        <v>4</v>
      </c>
      <c r="AF93" s="18" t="s">
        <v>70</v>
      </c>
      <c r="AG93" s="18"/>
      <c r="AH93" s="74">
        <v>4</v>
      </c>
      <c r="AI93" s="156">
        <f>IFERROR(IslandModel_1000P[[#This Row],[Quantity]]/IslandModel_1000P[[#This Row],[Target Quantity]],0)</f>
        <v>1</v>
      </c>
      <c r="AJ93" s="61" t="str">
        <f>IFERROR(INDEX(Production[Resource Produced],MATCH(IslandModel_1000P[[#This Row],[Building]],Production[Building],0)),"")</f>
        <v>Linseed</v>
      </c>
      <c r="AK93" s="99">
        <f>IFERROR(IslandModel_1000P[[#This Row],[Quantity]]*INDEX(Production[Production in 1h],MATCH(IslandModel_1000P[[#This Row],[Building]],Production[Building],0))*IslandModel_1000P[[#This Row],[Input Consumption Multiplier]],0)</f>
        <v>93.75</v>
      </c>
      <c r="AL93" s="115">
        <f>100%</f>
        <v>1</v>
      </c>
      <c r="AM93"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Linseed Field: 25/32</v>
      </c>
      <c r="AN93" s="77" t="str">
        <f>IFERROR(INDEX(Production[Input 1],MATCH(IslandModel_1000P[[#This Row],[Building]],Production[Building],0)),"")</f>
        <v>Land tile</v>
      </c>
      <c r="AO93" s="78"/>
      <c r="AP93"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4</v>
      </c>
      <c r="AQ93"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1293.1458333333333</v>
      </c>
      <c r="AR93"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3.125</v>
      </c>
      <c r="AS93" s="35" t="str">
        <f>IFERROR(INDEX(Production[Input 2],MATCH(IslandModel_1000P[[#This Row],[Building]],Production[Building],0)),"")</f>
        <v>Linseed Field</v>
      </c>
      <c r="AT93" s="78"/>
      <c r="AU93"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32</v>
      </c>
      <c r="AV93"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25</v>
      </c>
      <c r="AW93"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25</v>
      </c>
      <c r="AX93" s="35">
        <f>IFERROR(INDEX(Production[Input 3],MATCH(IslandModel_1000P[[#This Row],[Building]],Production[Building],0)),"")</f>
        <v>0</v>
      </c>
      <c r="AY93" s="78"/>
      <c r="AZ93"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93"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93"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93" s="35">
        <f>IFERROR(INDEX(Production[Input 4],MATCH(IslandModel_1000P[[#This Row],[Building]],Production[Building],0)),"")</f>
        <v>0</v>
      </c>
      <c r="BD93" s="78"/>
      <c r="BE93"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93"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93"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93" s="35">
        <f>IFERROR(INDEX(Production[Input 5],MATCH(IslandModel_1000P[[#This Row],[Building]],Production[Building],0)),"")</f>
        <v>0</v>
      </c>
      <c r="BI93" s="78"/>
      <c r="BJ93"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93"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93"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93" s="35">
        <f>IFERROR(INDEX(Production[Input 6],MATCH(IslandModel_1000P[[#This Row],[Building]],Production[Building],0)),"")</f>
        <v>0</v>
      </c>
      <c r="BN93" s="78"/>
      <c r="BO93"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93"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93"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93" s="35">
        <f>IFERROR(INDEX(Production[Input 7],MATCH(IslandModel_1000P[[#This Row],[Building]],Production[Building],0)),"")</f>
        <v>0</v>
      </c>
      <c r="BS93" s="78"/>
      <c r="BT93"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93"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93"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93" s="35">
        <f>IFERROR(INDEX(Production[Input 8],MATCH(IslandModel_1000P[[#This Row],[Building]],Production[Building],0)),"")</f>
        <v>0</v>
      </c>
      <c r="BX93" s="78"/>
      <c r="BY93"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93"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93"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93" s="35">
        <f>IFERROR(INDEX(Production[Input 9],MATCH(IslandModel_1000P[[#This Row],[Building]],Production[Building],0)),"")</f>
        <v>0</v>
      </c>
      <c r="CC93" s="78"/>
      <c r="CD93"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93"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93"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93" s="35">
        <f>IFERROR(INDEX(Production[Input 10],MATCH(IslandModel_1000P[[#This Row],[Building]],Production[Building],0)),"")</f>
        <v>0</v>
      </c>
      <c r="CH93" s="78"/>
      <c r="CI93"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93"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93"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93"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0.78125</v>
      </c>
      <c r="CM93" s="82" t="str">
        <f>IslandModel_1000P[[#This Row],[Resource Produced]]</f>
        <v>Linseed</v>
      </c>
      <c r="CN93" s="42">
        <f>IslandModel_1000P[[#This Row],[Amount produced/h]]</f>
        <v>93.75</v>
      </c>
      <c r="CO93" s="42" t="str">
        <f>IslandModel_1000P[[#This Row],[Input 1]]</f>
        <v>Land tile</v>
      </c>
      <c r="CP93" s="42">
        <f>-IslandModel_1000P[[#This Row],[Input 1 Consumed]]</f>
        <v>-3.125</v>
      </c>
      <c r="CQ93" s="42" t="str">
        <f>IslandModel_1000P[[#This Row],[Input 2]]</f>
        <v>Linseed Field</v>
      </c>
      <c r="CR93" s="42">
        <f>-IslandModel_1000P[[#This Row],[Input 2 Consumed]]</f>
        <v>-25</v>
      </c>
      <c r="CS93" s="42">
        <f>IslandModel_1000P[[#This Row],[Input 3]]</f>
        <v>0</v>
      </c>
      <c r="CT93" s="42">
        <f>-IslandModel_1000P[[#This Row],[Input 3 Consumed]]</f>
        <v>0</v>
      </c>
      <c r="CU93" s="42">
        <f>IslandModel_1000P[[#This Row],[Input 4]]</f>
        <v>0</v>
      </c>
      <c r="CV93" s="42">
        <f>-IslandModel_1000P[[#This Row],[Input 4 Consumed]]</f>
        <v>0</v>
      </c>
      <c r="CW93" s="42">
        <f>IslandModel_1000P[[#This Row],[Input 5]]</f>
        <v>0</v>
      </c>
      <c r="CX93" s="42">
        <f>-IslandModel_1000P[[#This Row],[Input 5 Consumed]]</f>
        <v>0</v>
      </c>
      <c r="CY93" s="42">
        <f>IslandModel_1000P[[#This Row],[Input 6]]</f>
        <v>0</v>
      </c>
      <c r="CZ93" s="42">
        <f>-IslandModel_1000P[[#This Row],[Input 6 Consumed]]</f>
        <v>0</v>
      </c>
      <c r="DA93" s="42">
        <f>IslandModel_1000P[[#This Row],[Input 7]]</f>
        <v>0</v>
      </c>
      <c r="DB93" s="42">
        <f>-IslandModel_1000P[[#This Row],[Input 7 Consumed]]</f>
        <v>0</v>
      </c>
      <c r="DC93" s="42">
        <f>IslandModel_1000P[[#This Row],[Input 8]]</f>
        <v>0</v>
      </c>
      <c r="DD93" s="42">
        <f>-IslandModel_1000P[[#This Row],[Input 8 Consumed]]</f>
        <v>0</v>
      </c>
      <c r="DE93" s="42">
        <f>IslandModel_1000P[[#This Row],[Input 9]]</f>
        <v>0</v>
      </c>
      <c r="DF93" s="42">
        <f>-IslandModel_1000P[[#This Row],[Input 9 Consumed]]</f>
        <v>0</v>
      </c>
      <c r="DG93" s="42">
        <f>IslandModel_1000P[[#This Row],[Input 10]]</f>
        <v>0</v>
      </c>
      <c r="DH93" s="42">
        <f>-IslandModel_1000P[[#This Row],[Input 10 Consumed]]</f>
        <v>0</v>
      </c>
      <c r="DJ93" s="69" t="s">
        <v>390</v>
      </c>
      <c r="DK93" s="39">
        <f>SUM(SUMIFS(IslandModel_1000P[Resource 1 Qty],IslandModel_1000P[Resource 1],ResourceAvailable_1000P[[#This Row],[Resource]]))</f>
        <v>30</v>
      </c>
      <c r="DL93"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30</v>
      </c>
      <c r="DM93" s="39">
        <f>ResourceAvailable_1000P[[#This Row],[Amount Produced]]-ResourceAvailable_1000P[[#This Row],[Amount Consumed]]</f>
        <v>0</v>
      </c>
      <c r="DN93" s="20">
        <f>MAX(0,ResourceAvailable_1000P[[#This Row],[Amount Available for Resident Consumption]]-SUMIFS(ConsumptionModel_1000P[Resource Demand],ConsumptionModel_1000P[Resource],ResourceAvailable_1000P[[#This Row],[Resource]]))</f>
        <v>0</v>
      </c>
    </row>
    <row r="94" spans="29:118" ht="21" x14ac:dyDescent="0.65">
      <c r="AC94" s="103" t="s">
        <v>660</v>
      </c>
      <c r="AD94" s="83">
        <f>ROW()</f>
        <v>94</v>
      </c>
      <c r="AE94" s="198">
        <f>AE95*8</f>
        <v>104</v>
      </c>
      <c r="AF94" s="72" t="s">
        <v>653</v>
      </c>
      <c r="AG94" s="18"/>
      <c r="AH94" s="198">
        <f>AH95*8</f>
        <v>104</v>
      </c>
      <c r="AI94" s="156">
        <f>IFERROR(IslandModel_1000P[[#This Row],[Quantity]]/IslandModel_1000P[[#This Row],[Target Quantity]],0)</f>
        <v>1</v>
      </c>
      <c r="AJ94" s="61" t="str">
        <f>IFERROR(INDEX(Production[Resource Produced],MATCH(IslandModel_1000P[[#This Row],[Building]],Production[Building],0)),"")</f>
        <v>Beehive</v>
      </c>
      <c r="AK94" s="99">
        <f>IFERROR(IslandModel_1000P[[#This Row],[Quantity]]*INDEX(Production[Production in 1h],MATCH(IslandModel_1000P[[#This Row],[Building]],Production[Building],0))*IslandModel_1000P[[#This Row],[Input Consumption Multiplier]],0)</f>
        <v>104</v>
      </c>
      <c r="AL94" s="115">
        <f>100%</f>
        <v>1</v>
      </c>
      <c r="AM94"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94" s="77" t="str">
        <f>IFERROR(INDEX(Production[Input 1],MATCH(IslandModel_1000P[[#This Row],[Building]],Production[Building],0)),"")</f>
        <v>Land tile</v>
      </c>
      <c r="AO94" s="78"/>
      <c r="AP94"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104</v>
      </c>
      <c r="AQ94"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1290.0208333333333</v>
      </c>
      <c r="AR94"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104</v>
      </c>
      <c r="AS94" s="35">
        <f>IFERROR(INDEX(Production[Input 2],MATCH(IslandModel_1000P[[#This Row],[Building]],Production[Building],0)),"")</f>
        <v>0</v>
      </c>
      <c r="AT94" s="78"/>
      <c r="AU94"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94"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94"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94" s="35">
        <f>IFERROR(INDEX(Production[Input 3],MATCH(IslandModel_1000P[[#This Row],[Building]],Production[Building],0)),"")</f>
        <v>0</v>
      </c>
      <c r="AY94" s="78"/>
      <c r="AZ94"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94"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94"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94" s="35">
        <f>IFERROR(INDEX(Production[Input 4],MATCH(IslandModel_1000P[[#This Row],[Building]],Production[Building],0)),"")</f>
        <v>0</v>
      </c>
      <c r="BD94" s="78"/>
      <c r="BE94"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94"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94"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94" s="35">
        <f>IFERROR(INDEX(Production[Input 5],MATCH(IslandModel_1000P[[#This Row],[Building]],Production[Building],0)),"")</f>
        <v>0</v>
      </c>
      <c r="BI94" s="78"/>
      <c r="BJ94"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94"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94"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94" s="35">
        <f>IFERROR(INDEX(Production[Input 6],MATCH(IslandModel_1000P[[#This Row],[Building]],Production[Building],0)),"")</f>
        <v>0</v>
      </c>
      <c r="BN94" s="78"/>
      <c r="BO94"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94"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94"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94" s="35">
        <f>IFERROR(INDEX(Production[Input 7],MATCH(IslandModel_1000P[[#This Row],[Building]],Production[Building],0)),"")</f>
        <v>0</v>
      </c>
      <c r="BS94" s="78"/>
      <c r="BT94"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94"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94"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94" s="35">
        <f>IFERROR(INDEX(Production[Input 8],MATCH(IslandModel_1000P[[#This Row],[Building]],Production[Building],0)),"")</f>
        <v>0</v>
      </c>
      <c r="BX94" s="78"/>
      <c r="BY94"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94"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94"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94" s="35">
        <f>IFERROR(INDEX(Production[Input 9],MATCH(IslandModel_1000P[[#This Row],[Building]],Production[Building],0)),"")</f>
        <v>0</v>
      </c>
      <c r="CC94" s="78"/>
      <c r="CD94"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94"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94"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94" s="35">
        <f>IFERROR(INDEX(Production[Input 10],MATCH(IslandModel_1000P[[#This Row],[Building]],Production[Building],0)),"")</f>
        <v>0</v>
      </c>
      <c r="CH94" s="78"/>
      <c r="CI94"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94"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94"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94"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94" s="82" t="str">
        <f>IslandModel_1000P[[#This Row],[Resource Produced]]</f>
        <v>Beehive</v>
      </c>
      <c r="CN94" s="42">
        <f>IslandModel_1000P[[#This Row],[Amount produced/h]]</f>
        <v>104</v>
      </c>
      <c r="CO94" s="42" t="str">
        <f>IslandModel_1000P[[#This Row],[Input 1]]</f>
        <v>Land tile</v>
      </c>
      <c r="CP94" s="42">
        <f>-IslandModel_1000P[[#This Row],[Input 1 Consumed]]</f>
        <v>-104</v>
      </c>
      <c r="CQ94" s="42">
        <f>IslandModel_1000P[[#This Row],[Input 2]]</f>
        <v>0</v>
      </c>
      <c r="CR94" s="42">
        <f>-IslandModel_1000P[[#This Row],[Input 2 Consumed]]</f>
        <v>0</v>
      </c>
      <c r="CS94" s="42">
        <f>IslandModel_1000P[[#This Row],[Input 3]]</f>
        <v>0</v>
      </c>
      <c r="CT94" s="42">
        <f>-IslandModel_1000P[[#This Row],[Input 3 Consumed]]</f>
        <v>0</v>
      </c>
      <c r="CU94" s="42">
        <f>IslandModel_1000P[[#This Row],[Input 4]]</f>
        <v>0</v>
      </c>
      <c r="CV94" s="42">
        <f>-IslandModel_1000P[[#This Row],[Input 4 Consumed]]</f>
        <v>0</v>
      </c>
      <c r="CW94" s="42">
        <f>IslandModel_1000P[[#This Row],[Input 5]]</f>
        <v>0</v>
      </c>
      <c r="CX94" s="42">
        <f>-IslandModel_1000P[[#This Row],[Input 5 Consumed]]</f>
        <v>0</v>
      </c>
      <c r="CY94" s="42">
        <f>IslandModel_1000P[[#This Row],[Input 6]]</f>
        <v>0</v>
      </c>
      <c r="CZ94" s="42">
        <f>-IslandModel_1000P[[#This Row],[Input 6 Consumed]]</f>
        <v>0</v>
      </c>
      <c r="DA94" s="42">
        <f>IslandModel_1000P[[#This Row],[Input 7]]</f>
        <v>0</v>
      </c>
      <c r="DB94" s="42">
        <f>-IslandModel_1000P[[#This Row],[Input 7 Consumed]]</f>
        <v>0</v>
      </c>
      <c r="DC94" s="42">
        <f>IslandModel_1000P[[#This Row],[Input 8]]</f>
        <v>0</v>
      </c>
      <c r="DD94" s="42">
        <f>-IslandModel_1000P[[#This Row],[Input 8 Consumed]]</f>
        <v>0</v>
      </c>
      <c r="DE94" s="42">
        <f>IslandModel_1000P[[#This Row],[Input 9]]</f>
        <v>0</v>
      </c>
      <c r="DF94" s="42">
        <f>-IslandModel_1000P[[#This Row],[Input 9 Consumed]]</f>
        <v>0</v>
      </c>
      <c r="DG94" s="42">
        <f>IslandModel_1000P[[#This Row],[Input 10]]</f>
        <v>0</v>
      </c>
      <c r="DH94" s="42">
        <f>-IslandModel_1000P[[#This Row],[Input 10 Consumed]]</f>
        <v>0</v>
      </c>
      <c r="DJ94" s="69" t="s">
        <v>9</v>
      </c>
      <c r="DK94" s="39">
        <f>SUM(SUMIFS(IslandModel_1000P[Resource 1 Qty],IslandModel_1000P[Resource 1],ResourceAvailable_1000P[[#This Row],[Resource]]))</f>
        <v>0</v>
      </c>
      <c r="DL94"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94" s="39">
        <f>ResourceAvailable_1000P[[#This Row],[Amount Produced]]-ResourceAvailable_1000P[[#This Row],[Amount Consumed]]</f>
        <v>0</v>
      </c>
      <c r="DN94" s="58">
        <f>MAX(0,ResourceAvailable_1000P[[#This Row],[Amount Available for Resident Consumption]]-SUMIFS(ConsumptionModel_1000P[Resource Demand],ConsumptionModel_1000P[Resource],ResourceAvailable_1000P[[#This Row],[Resource]]))</f>
        <v>0</v>
      </c>
    </row>
    <row r="95" spans="29:118" ht="21" x14ac:dyDescent="0.65">
      <c r="AC95" s="103" t="s">
        <v>660</v>
      </c>
      <c r="AD95" s="83">
        <f>ROW()</f>
        <v>95</v>
      </c>
      <c r="AE95" s="74">
        <v>13</v>
      </c>
      <c r="AF95" s="72" t="s">
        <v>425</v>
      </c>
      <c r="AG95" s="18"/>
      <c r="AH95" s="74">
        <v>13</v>
      </c>
      <c r="AI95" s="156">
        <f>IFERROR(IslandModel_1000P[[#This Row],[Quantity]]/IslandModel_1000P[[#This Row],[Target Quantity]],0)</f>
        <v>1</v>
      </c>
      <c r="AJ95" s="61" t="str">
        <f>IFERROR(INDEX(Production[Resource Produced],MATCH(IslandModel_1000P[[#This Row],[Building]],Production[Building],0)),"")</f>
        <v>Honey</v>
      </c>
      <c r="AK95" s="99">
        <f>IFERROR(IslandModel_1000P[[#This Row],[Quantity]]*INDEX(Production[Production in 1h],MATCH(IslandModel_1000P[[#This Row],[Building]],Production[Building],0))*IslandModel_1000P[[#This Row],[Input Consumption Multiplier]],0)</f>
        <v>195</v>
      </c>
      <c r="AL95" s="115">
        <f>100%</f>
        <v>1</v>
      </c>
      <c r="AM95"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95" s="77" t="str">
        <f>IFERROR(INDEX(Production[Input 1],MATCH(IslandModel_1000P[[#This Row],[Building]],Production[Building],0)),"")</f>
        <v>Land tile</v>
      </c>
      <c r="AO95" s="78"/>
      <c r="AP95"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13</v>
      </c>
      <c r="AQ95"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1186.0208333333333</v>
      </c>
      <c r="AR95"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13</v>
      </c>
      <c r="AS95" s="35" t="str">
        <f>IFERROR(INDEX(Production[Input 2],MATCH(IslandModel_1000P[[#This Row],[Building]],Production[Building],0)),"")</f>
        <v>Beehive</v>
      </c>
      <c r="AT95" s="78"/>
      <c r="AU95"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104</v>
      </c>
      <c r="AV95"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104</v>
      </c>
      <c r="AW95"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104</v>
      </c>
      <c r="AX95" s="35">
        <f>IFERROR(INDEX(Production[Input 3],MATCH(IslandModel_1000P[[#This Row],[Building]],Production[Building],0)),"")</f>
        <v>0</v>
      </c>
      <c r="AY95" s="78"/>
      <c r="AZ95"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95"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95"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95" s="35">
        <f>IFERROR(INDEX(Production[Input 4],MATCH(IslandModel_1000P[[#This Row],[Building]],Production[Building],0)),"")</f>
        <v>0</v>
      </c>
      <c r="BD95" s="78"/>
      <c r="BE95"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95"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95"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95" s="35">
        <f>IFERROR(INDEX(Production[Input 5],MATCH(IslandModel_1000P[[#This Row],[Building]],Production[Building],0)),"")</f>
        <v>0</v>
      </c>
      <c r="BI95" s="78"/>
      <c r="BJ95"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95"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95"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95" s="35">
        <f>IFERROR(INDEX(Production[Input 6],MATCH(IslandModel_1000P[[#This Row],[Building]],Production[Building],0)),"")</f>
        <v>0</v>
      </c>
      <c r="BN95" s="78"/>
      <c r="BO95"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95"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95"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95" s="35">
        <f>IFERROR(INDEX(Production[Input 7],MATCH(IslandModel_1000P[[#This Row],[Building]],Production[Building],0)),"")</f>
        <v>0</v>
      </c>
      <c r="BS95" s="78"/>
      <c r="BT95"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95"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95"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95" s="35">
        <f>IFERROR(INDEX(Production[Input 8],MATCH(IslandModel_1000P[[#This Row],[Building]],Production[Building],0)),"")</f>
        <v>0</v>
      </c>
      <c r="BX95" s="78"/>
      <c r="BY95"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95"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95"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95" s="35">
        <f>IFERROR(INDEX(Production[Input 9],MATCH(IslandModel_1000P[[#This Row],[Building]],Production[Building],0)),"")</f>
        <v>0</v>
      </c>
      <c r="CC95" s="78"/>
      <c r="CD95"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95"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95"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95" s="35">
        <f>IFERROR(INDEX(Production[Input 10],MATCH(IslandModel_1000P[[#This Row],[Building]],Production[Building],0)),"")</f>
        <v>0</v>
      </c>
      <c r="CH95" s="78"/>
      <c r="CI95"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95"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95"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95"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95" s="82" t="str">
        <f>IslandModel_1000P[[#This Row],[Resource Produced]]</f>
        <v>Honey</v>
      </c>
      <c r="CN95" s="42">
        <f>IslandModel_1000P[[#This Row],[Amount produced/h]]</f>
        <v>195</v>
      </c>
      <c r="CO95" s="42" t="str">
        <f>IslandModel_1000P[[#This Row],[Input 1]]</f>
        <v>Land tile</v>
      </c>
      <c r="CP95" s="42">
        <f>-IslandModel_1000P[[#This Row],[Input 1 Consumed]]</f>
        <v>-13</v>
      </c>
      <c r="CQ95" s="42" t="str">
        <f>IslandModel_1000P[[#This Row],[Input 2]]</f>
        <v>Beehive</v>
      </c>
      <c r="CR95" s="42">
        <f>-IslandModel_1000P[[#This Row],[Input 2 Consumed]]</f>
        <v>-104</v>
      </c>
      <c r="CS95" s="42">
        <f>IslandModel_1000P[[#This Row],[Input 3]]</f>
        <v>0</v>
      </c>
      <c r="CT95" s="42">
        <f>-IslandModel_1000P[[#This Row],[Input 3 Consumed]]</f>
        <v>0</v>
      </c>
      <c r="CU95" s="42">
        <f>IslandModel_1000P[[#This Row],[Input 4]]</f>
        <v>0</v>
      </c>
      <c r="CV95" s="42">
        <f>-IslandModel_1000P[[#This Row],[Input 4 Consumed]]</f>
        <v>0</v>
      </c>
      <c r="CW95" s="42">
        <f>IslandModel_1000P[[#This Row],[Input 5]]</f>
        <v>0</v>
      </c>
      <c r="CX95" s="42">
        <f>-IslandModel_1000P[[#This Row],[Input 5 Consumed]]</f>
        <v>0</v>
      </c>
      <c r="CY95" s="42">
        <f>IslandModel_1000P[[#This Row],[Input 6]]</f>
        <v>0</v>
      </c>
      <c r="CZ95" s="42">
        <f>-IslandModel_1000P[[#This Row],[Input 6 Consumed]]</f>
        <v>0</v>
      </c>
      <c r="DA95" s="42">
        <f>IslandModel_1000P[[#This Row],[Input 7]]</f>
        <v>0</v>
      </c>
      <c r="DB95" s="42">
        <f>-IslandModel_1000P[[#This Row],[Input 7 Consumed]]</f>
        <v>0</v>
      </c>
      <c r="DC95" s="42">
        <f>IslandModel_1000P[[#This Row],[Input 8]]</f>
        <v>0</v>
      </c>
      <c r="DD95" s="42">
        <f>-IslandModel_1000P[[#This Row],[Input 8 Consumed]]</f>
        <v>0</v>
      </c>
      <c r="DE95" s="42">
        <f>IslandModel_1000P[[#This Row],[Input 9]]</f>
        <v>0</v>
      </c>
      <c r="DF95" s="42">
        <f>-IslandModel_1000P[[#This Row],[Input 9 Consumed]]</f>
        <v>0</v>
      </c>
      <c r="DG95" s="42">
        <f>IslandModel_1000P[[#This Row],[Input 10]]</f>
        <v>0</v>
      </c>
      <c r="DH95" s="42">
        <f>-IslandModel_1000P[[#This Row],[Input 10 Consumed]]</f>
        <v>0</v>
      </c>
      <c r="DJ95" s="69" t="s">
        <v>53</v>
      </c>
      <c r="DK95" s="39">
        <f>SUM(SUMIFS(IslandModel_1000P[Resource 1 Qty],IslandModel_1000P[Resource 1],ResourceAvailable_1000P[[#This Row],[Resource]]))</f>
        <v>320</v>
      </c>
      <c r="DL95"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32</v>
      </c>
      <c r="DM95" s="39">
        <f>ResourceAvailable_1000P[[#This Row],[Amount Produced]]-ResourceAvailable_1000P[[#This Row],[Amount Consumed]]</f>
        <v>288</v>
      </c>
      <c r="DN95" s="20">
        <f>MAX(0,ResourceAvailable_1000P[[#This Row],[Amount Available for Resident Consumption]]-SUMIFS(ConsumptionModel_1000P[Resource Demand],ConsumptionModel_1000P[Resource],ResourceAvailable_1000P[[#This Row],[Resource]]))</f>
        <v>288</v>
      </c>
    </row>
    <row r="96" spans="29:118" ht="21" x14ac:dyDescent="0.65">
      <c r="AC96" s="103" t="s">
        <v>660</v>
      </c>
      <c r="AD96" s="83">
        <f>ROW()</f>
        <v>96</v>
      </c>
      <c r="AE96" s="74">
        <v>3</v>
      </c>
      <c r="AF96" s="72" t="s">
        <v>50</v>
      </c>
      <c r="AG96" s="18"/>
      <c r="AH96" s="74">
        <v>3</v>
      </c>
      <c r="AI96" s="156">
        <f>IFERROR(IslandModel_1000P[[#This Row],[Quantity]]/IslandModel_1000P[[#This Row],[Target Quantity]],0)</f>
        <v>1</v>
      </c>
      <c r="AJ96" s="61" t="str">
        <f>IFERROR(INDEX(Production[Resource Produced],MATCH(IslandModel_1000P[[#This Row],[Building]],Production[Building],0)),"")</f>
        <v>Wood</v>
      </c>
      <c r="AK96" s="99">
        <f>IFERROR(IslandModel_1000P[[#This Row],[Quantity]]*INDEX(Production[Production in 1h],MATCH(IslandModel_1000P[[#This Row],[Building]],Production[Building],0))*IslandModel_1000P[[#This Row],[Input Consumption Multiplier]],0)</f>
        <v>900</v>
      </c>
      <c r="AL96" s="115">
        <f>100%</f>
        <v>1</v>
      </c>
      <c r="AM96"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96" s="77" t="str">
        <f>IFERROR(INDEX(Production[Input 1],MATCH(IslandModel_1000P[[#This Row],[Building]],Production[Building],0)),"")</f>
        <v>Land tile</v>
      </c>
      <c r="AO96" s="78"/>
      <c r="AP96"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21</v>
      </c>
      <c r="AQ96"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1173.0208333333333</v>
      </c>
      <c r="AR96"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21</v>
      </c>
      <c r="AS96" s="35">
        <f>IFERROR(INDEX(Production[Input 2],MATCH(IslandModel_1000P[[#This Row],[Building]],Production[Building],0)),"")</f>
        <v>0</v>
      </c>
      <c r="AT96" s="78"/>
      <c r="AU96"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96"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96"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96" s="35">
        <f>IFERROR(INDEX(Production[Input 3],MATCH(IslandModel_1000P[[#This Row],[Building]],Production[Building],0)),"")</f>
        <v>0</v>
      </c>
      <c r="AY96" s="78"/>
      <c r="AZ96"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96"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96"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96" s="35">
        <f>IFERROR(INDEX(Production[Input 4],MATCH(IslandModel_1000P[[#This Row],[Building]],Production[Building],0)),"")</f>
        <v>0</v>
      </c>
      <c r="BD96" s="78"/>
      <c r="BE96"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96"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96"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96" s="35">
        <f>IFERROR(INDEX(Production[Input 5],MATCH(IslandModel_1000P[[#This Row],[Building]],Production[Building],0)),"")</f>
        <v>0</v>
      </c>
      <c r="BI96" s="78"/>
      <c r="BJ96"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96"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96"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96" s="35">
        <f>IFERROR(INDEX(Production[Input 6],MATCH(IslandModel_1000P[[#This Row],[Building]],Production[Building],0)),"")</f>
        <v>0</v>
      </c>
      <c r="BN96" s="78"/>
      <c r="BO96"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96"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96"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96" s="35">
        <f>IFERROR(INDEX(Production[Input 7],MATCH(IslandModel_1000P[[#This Row],[Building]],Production[Building],0)),"")</f>
        <v>0</v>
      </c>
      <c r="BS96" s="78"/>
      <c r="BT96"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96"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96"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96" s="35">
        <f>IFERROR(INDEX(Production[Input 8],MATCH(IslandModel_1000P[[#This Row],[Building]],Production[Building],0)),"")</f>
        <v>0</v>
      </c>
      <c r="BX96" s="78"/>
      <c r="BY96"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96"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96"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96" s="35">
        <f>IFERROR(INDEX(Production[Input 9],MATCH(IslandModel_1000P[[#This Row],[Building]],Production[Building],0)),"")</f>
        <v>0</v>
      </c>
      <c r="CC96" s="78"/>
      <c r="CD96"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96"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96"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96" s="35">
        <f>IFERROR(INDEX(Production[Input 10],MATCH(IslandModel_1000P[[#This Row],[Building]],Production[Building],0)),"")</f>
        <v>0</v>
      </c>
      <c r="CH96" s="78"/>
      <c r="CI96"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96"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96"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96"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96" s="82" t="str">
        <f>IslandModel_1000P[[#This Row],[Resource Produced]]</f>
        <v>Wood</v>
      </c>
      <c r="CN96" s="42">
        <f>IslandModel_1000P[[#This Row],[Amount produced/h]]</f>
        <v>900</v>
      </c>
      <c r="CO96" s="42" t="str">
        <f>IslandModel_1000P[[#This Row],[Input 1]]</f>
        <v>Land tile</v>
      </c>
      <c r="CP96" s="42">
        <f>-IslandModel_1000P[[#This Row],[Input 1 Consumed]]</f>
        <v>-21</v>
      </c>
      <c r="CQ96" s="42">
        <f>IslandModel_1000P[[#This Row],[Input 2]]</f>
        <v>0</v>
      </c>
      <c r="CR96" s="42">
        <f>-IslandModel_1000P[[#This Row],[Input 2 Consumed]]</f>
        <v>0</v>
      </c>
      <c r="CS96" s="42">
        <f>IslandModel_1000P[[#This Row],[Input 3]]</f>
        <v>0</v>
      </c>
      <c r="CT96" s="42">
        <f>-IslandModel_1000P[[#This Row],[Input 3 Consumed]]</f>
        <v>0</v>
      </c>
      <c r="CU96" s="42">
        <f>IslandModel_1000P[[#This Row],[Input 4]]</f>
        <v>0</v>
      </c>
      <c r="CV96" s="42">
        <f>-IslandModel_1000P[[#This Row],[Input 4 Consumed]]</f>
        <v>0</v>
      </c>
      <c r="CW96" s="42">
        <f>IslandModel_1000P[[#This Row],[Input 5]]</f>
        <v>0</v>
      </c>
      <c r="CX96" s="42">
        <f>-IslandModel_1000P[[#This Row],[Input 5 Consumed]]</f>
        <v>0</v>
      </c>
      <c r="CY96" s="42">
        <f>IslandModel_1000P[[#This Row],[Input 6]]</f>
        <v>0</v>
      </c>
      <c r="CZ96" s="42">
        <f>-IslandModel_1000P[[#This Row],[Input 6 Consumed]]</f>
        <v>0</v>
      </c>
      <c r="DA96" s="42">
        <f>IslandModel_1000P[[#This Row],[Input 7]]</f>
        <v>0</v>
      </c>
      <c r="DB96" s="42">
        <f>-IslandModel_1000P[[#This Row],[Input 7 Consumed]]</f>
        <v>0</v>
      </c>
      <c r="DC96" s="42">
        <f>IslandModel_1000P[[#This Row],[Input 8]]</f>
        <v>0</v>
      </c>
      <c r="DD96" s="42">
        <f>-IslandModel_1000P[[#This Row],[Input 8 Consumed]]</f>
        <v>0</v>
      </c>
      <c r="DE96" s="42">
        <f>IslandModel_1000P[[#This Row],[Input 9]]</f>
        <v>0</v>
      </c>
      <c r="DF96" s="42">
        <f>-IslandModel_1000P[[#This Row],[Input 9 Consumed]]</f>
        <v>0</v>
      </c>
      <c r="DG96" s="42">
        <f>IslandModel_1000P[[#This Row],[Input 10]]</f>
        <v>0</v>
      </c>
      <c r="DH96" s="42">
        <f>-IslandModel_1000P[[#This Row],[Input 10 Consumed]]</f>
        <v>0</v>
      </c>
      <c r="DJ96" s="69" t="s">
        <v>383</v>
      </c>
      <c r="DK96" s="39">
        <f>SUM(SUMIFS(IslandModel_1000P[Resource 1 Qty],IslandModel_1000P[Resource 1],ResourceAvailable_1000P[[#This Row],[Resource]]))</f>
        <v>60</v>
      </c>
      <c r="DL96"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60</v>
      </c>
      <c r="DM96" s="39">
        <f>ResourceAvailable_1000P[[#This Row],[Amount Produced]]-ResourceAvailable_1000P[[#This Row],[Amount Consumed]]</f>
        <v>0</v>
      </c>
      <c r="DN96" s="20">
        <f>MAX(0,ResourceAvailable_1000P[[#This Row],[Amount Available for Resident Consumption]]-SUMIFS(ConsumptionModel_1000P[Resource Demand],ConsumptionModel_1000P[Resource],ResourceAvailable_1000P[[#This Row],[Resource]]))</f>
        <v>0</v>
      </c>
    </row>
    <row r="97" spans="29:118" ht="21" x14ac:dyDescent="0.65">
      <c r="AC97" s="103" t="s">
        <v>660</v>
      </c>
      <c r="AD97" s="83">
        <f>ROW()</f>
        <v>97</v>
      </c>
      <c r="AE97" s="74">
        <v>5</v>
      </c>
      <c r="AF97" s="72" t="s">
        <v>90</v>
      </c>
      <c r="AG97" s="18"/>
      <c r="AH97" s="74">
        <v>5</v>
      </c>
      <c r="AI97" s="156">
        <f>IFERROR(IslandModel_1000P[[#This Row],[Quantity]]/IslandModel_1000P[[#This Row],[Target Quantity]],0)</f>
        <v>1</v>
      </c>
      <c r="AJ97" s="61" t="str">
        <f>IFERROR(INDEX(Production[Resource Produced],MATCH(IslandModel_1000P[[#This Row],[Building]],Production[Building],0)),"")</f>
        <v>Copper Ore</v>
      </c>
      <c r="AK97" s="99">
        <f>IFERROR(IslandModel_1000P[[#This Row],[Quantity]]*INDEX(Production[Production in 1h],MATCH(IslandModel_1000P[[#This Row],[Building]],Production[Building],0))*IslandModel_1000P[[#This Row],[Input Consumption Multiplier]],0)</f>
        <v>75</v>
      </c>
      <c r="AL97" s="115">
        <f>100%</f>
        <v>1</v>
      </c>
      <c r="AM97"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97" s="77" t="str">
        <f>IFERROR(INDEX(Production[Input 1],MATCH(IslandModel_1000P[[#This Row],[Building]],Production[Building],0)),"")</f>
        <v>Mountain tile</v>
      </c>
      <c r="AO97" s="78"/>
      <c r="AP97"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5</v>
      </c>
      <c r="AQ97"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306</v>
      </c>
      <c r="AR97"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5</v>
      </c>
      <c r="AS97" s="35">
        <f>IFERROR(INDEX(Production[Input 2],MATCH(IslandModel_1000P[[#This Row],[Building]],Production[Building],0)),"")</f>
        <v>0</v>
      </c>
      <c r="AT97" s="78"/>
      <c r="AU97"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97"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97"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97" s="35">
        <f>IFERROR(INDEX(Production[Input 3],MATCH(IslandModel_1000P[[#This Row],[Building]],Production[Building],0)),"")</f>
        <v>0</v>
      </c>
      <c r="AY97" s="78"/>
      <c r="AZ97"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97"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97"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97" s="35">
        <f>IFERROR(INDEX(Production[Input 4],MATCH(IslandModel_1000P[[#This Row],[Building]],Production[Building],0)),"")</f>
        <v>0</v>
      </c>
      <c r="BD97" s="78"/>
      <c r="BE97"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97"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97"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97" s="35">
        <f>IFERROR(INDEX(Production[Input 5],MATCH(IslandModel_1000P[[#This Row],[Building]],Production[Building],0)),"")</f>
        <v>0</v>
      </c>
      <c r="BI97" s="78"/>
      <c r="BJ97"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97"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97"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97" s="35">
        <f>IFERROR(INDEX(Production[Input 6],MATCH(IslandModel_1000P[[#This Row],[Building]],Production[Building],0)),"")</f>
        <v>0</v>
      </c>
      <c r="BN97" s="78"/>
      <c r="BO97"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97"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97"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97" s="35">
        <f>IFERROR(INDEX(Production[Input 7],MATCH(IslandModel_1000P[[#This Row],[Building]],Production[Building],0)),"")</f>
        <v>0</v>
      </c>
      <c r="BS97" s="78"/>
      <c r="BT97"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97"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97"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97" s="35">
        <f>IFERROR(INDEX(Production[Input 8],MATCH(IslandModel_1000P[[#This Row],[Building]],Production[Building],0)),"")</f>
        <v>0</v>
      </c>
      <c r="BX97" s="78"/>
      <c r="BY97"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97"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97"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97" s="35">
        <f>IFERROR(INDEX(Production[Input 9],MATCH(IslandModel_1000P[[#This Row],[Building]],Production[Building],0)),"")</f>
        <v>0</v>
      </c>
      <c r="CC97" s="78"/>
      <c r="CD97"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97"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97"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97" s="35">
        <f>IFERROR(INDEX(Production[Input 10],MATCH(IslandModel_1000P[[#This Row],[Building]],Production[Building],0)),"")</f>
        <v>0</v>
      </c>
      <c r="CH97" s="78"/>
      <c r="CI97"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97"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97"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97"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97" s="82" t="str">
        <f>IslandModel_1000P[[#This Row],[Resource Produced]]</f>
        <v>Copper Ore</v>
      </c>
      <c r="CN97" s="42">
        <f>IslandModel_1000P[[#This Row],[Amount produced/h]]</f>
        <v>75</v>
      </c>
      <c r="CO97" s="42" t="str">
        <f>IslandModel_1000P[[#This Row],[Input 1]]</f>
        <v>Mountain tile</v>
      </c>
      <c r="CP97" s="42">
        <f>-IslandModel_1000P[[#This Row],[Input 1 Consumed]]</f>
        <v>-5</v>
      </c>
      <c r="CQ97" s="42">
        <f>IslandModel_1000P[[#This Row],[Input 2]]</f>
        <v>0</v>
      </c>
      <c r="CR97" s="42">
        <f>-IslandModel_1000P[[#This Row],[Input 2 Consumed]]</f>
        <v>0</v>
      </c>
      <c r="CS97" s="42">
        <f>IslandModel_1000P[[#This Row],[Input 3]]</f>
        <v>0</v>
      </c>
      <c r="CT97" s="42">
        <f>-IslandModel_1000P[[#This Row],[Input 3 Consumed]]</f>
        <v>0</v>
      </c>
      <c r="CU97" s="42">
        <f>IslandModel_1000P[[#This Row],[Input 4]]</f>
        <v>0</v>
      </c>
      <c r="CV97" s="42">
        <f>-IslandModel_1000P[[#This Row],[Input 4 Consumed]]</f>
        <v>0</v>
      </c>
      <c r="CW97" s="42">
        <f>IslandModel_1000P[[#This Row],[Input 5]]</f>
        <v>0</v>
      </c>
      <c r="CX97" s="42">
        <f>-IslandModel_1000P[[#This Row],[Input 5 Consumed]]</f>
        <v>0</v>
      </c>
      <c r="CY97" s="42">
        <f>IslandModel_1000P[[#This Row],[Input 6]]</f>
        <v>0</v>
      </c>
      <c r="CZ97" s="42">
        <f>-IslandModel_1000P[[#This Row],[Input 6 Consumed]]</f>
        <v>0</v>
      </c>
      <c r="DA97" s="42">
        <f>IslandModel_1000P[[#This Row],[Input 7]]</f>
        <v>0</v>
      </c>
      <c r="DB97" s="42">
        <f>-IslandModel_1000P[[#This Row],[Input 7 Consumed]]</f>
        <v>0</v>
      </c>
      <c r="DC97" s="42">
        <f>IslandModel_1000P[[#This Row],[Input 8]]</f>
        <v>0</v>
      </c>
      <c r="DD97" s="42">
        <f>-IslandModel_1000P[[#This Row],[Input 8 Consumed]]</f>
        <v>0</v>
      </c>
      <c r="DE97" s="42">
        <f>IslandModel_1000P[[#This Row],[Input 9]]</f>
        <v>0</v>
      </c>
      <c r="DF97" s="42">
        <f>-IslandModel_1000P[[#This Row],[Input 9 Consumed]]</f>
        <v>0</v>
      </c>
      <c r="DG97" s="42">
        <f>IslandModel_1000P[[#This Row],[Input 10]]</f>
        <v>0</v>
      </c>
      <c r="DH97" s="42">
        <f>-IslandModel_1000P[[#This Row],[Input 10 Consumed]]</f>
        <v>0</v>
      </c>
      <c r="DJ97" s="69" t="s">
        <v>80</v>
      </c>
      <c r="DK97" s="39">
        <f>SUM(SUMIFS(IslandModel_1000P[Resource 1 Qty],IslandModel_1000P[Resource 1],ResourceAvailable_1000P[[#This Row],[Resource]]))</f>
        <v>0</v>
      </c>
      <c r="DL97"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97" s="39">
        <f>ResourceAvailable_1000P[[#This Row],[Amount Produced]]-ResourceAvailable_1000P[[#This Row],[Amount Consumed]]</f>
        <v>0</v>
      </c>
      <c r="DN97" s="20">
        <f>MAX(0,ResourceAvailable_1000P[[#This Row],[Amount Available for Resident Consumption]]-SUMIFS(ConsumptionModel_1000P[Resource Demand],ConsumptionModel_1000P[Resource],ResourceAvailable_1000P[[#This Row],[Resource]]))</f>
        <v>0</v>
      </c>
    </row>
    <row r="98" spans="29:118" ht="21" x14ac:dyDescent="0.65">
      <c r="AC98" s="103" t="s">
        <v>660</v>
      </c>
      <c r="AD98" s="83">
        <f>ROW()</f>
        <v>98</v>
      </c>
      <c r="AE98" s="74">
        <v>9</v>
      </c>
      <c r="AF98" s="72" t="s">
        <v>92</v>
      </c>
      <c r="AG98" s="18"/>
      <c r="AH98" s="74">
        <v>9</v>
      </c>
      <c r="AI98" s="156">
        <f>IFERROR(IslandModel_1000P[[#This Row],[Quantity]]/IslandModel_1000P[[#This Row],[Target Quantity]],0)</f>
        <v>1</v>
      </c>
      <c r="AJ98" s="61" t="str">
        <f>IFERROR(INDEX(Production[Resource Produced],MATCH(IslandModel_1000P[[#This Row],[Building]],Production[Building],0)),"")</f>
        <v>Copper Ingot</v>
      </c>
      <c r="AK98" s="99">
        <f>IFERROR(IslandModel_1000P[[#This Row],[Quantity]]*INDEX(Production[Production in 1h],MATCH(IslandModel_1000P[[#This Row],[Building]],Production[Building],0))*IslandModel_1000P[[#This Row],[Input Consumption Multiplier]],0)</f>
        <v>67.5</v>
      </c>
      <c r="AL98" s="115">
        <f>100%</f>
        <v>1</v>
      </c>
      <c r="AM98"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98" s="77" t="str">
        <f>IFERROR(INDEX(Production[Input 1],MATCH(IslandModel_1000P[[#This Row],[Building]],Production[Building],0)),"")</f>
        <v>Land tile</v>
      </c>
      <c r="AO98" s="78"/>
      <c r="AP98"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9</v>
      </c>
      <c r="AQ98"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1152.0208333333333</v>
      </c>
      <c r="AR98"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9</v>
      </c>
      <c r="AS98" s="35" t="str">
        <f>IFERROR(INDEX(Production[Input 2],MATCH(IslandModel_1000P[[#This Row],[Building]],Production[Building],0)),"")</f>
        <v>Copper Ore</v>
      </c>
      <c r="AT98" s="78"/>
      <c r="AU98"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67.5</v>
      </c>
      <c r="AV98"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75</v>
      </c>
      <c r="AW98"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67.5</v>
      </c>
      <c r="AX98" s="35" t="str">
        <f>IFERROR(INDEX(Production[Input 3],MATCH(IslandModel_1000P[[#This Row],[Building]],Production[Building],0)),"")</f>
        <v>Wood</v>
      </c>
      <c r="AY98" s="78"/>
      <c r="AZ98"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675</v>
      </c>
      <c r="BA98"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900</v>
      </c>
      <c r="BB98"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675</v>
      </c>
      <c r="BC98" s="35">
        <f>IFERROR(INDEX(Production[Input 4],MATCH(IslandModel_1000P[[#This Row],[Building]],Production[Building],0)),"")</f>
        <v>0</v>
      </c>
      <c r="BD98" s="78"/>
      <c r="BE98"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98"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98"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98" s="35">
        <f>IFERROR(INDEX(Production[Input 5],MATCH(IslandModel_1000P[[#This Row],[Building]],Production[Building],0)),"")</f>
        <v>0</v>
      </c>
      <c r="BI98" s="78"/>
      <c r="BJ98"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98"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98"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98" s="35">
        <f>IFERROR(INDEX(Production[Input 6],MATCH(IslandModel_1000P[[#This Row],[Building]],Production[Building],0)),"")</f>
        <v>0</v>
      </c>
      <c r="BN98" s="78"/>
      <c r="BO98"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98"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98"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98" s="35">
        <f>IFERROR(INDEX(Production[Input 7],MATCH(IslandModel_1000P[[#This Row],[Building]],Production[Building],0)),"")</f>
        <v>0</v>
      </c>
      <c r="BS98" s="78"/>
      <c r="BT98"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98"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98"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98" s="35">
        <f>IFERROR(INDEX(Production[Input 8],MATCH(IslandModel_1000P[[#This Row],[Building]],Production[Building],0)),"")</f>
        <v>0</v>
      </c>
      <c r="BX98" s="78"/>
      <c r="BY98"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98"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98"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98" s="35">
        <f>IFERROR(INDEX(Production[Input 9],MATCH(IslandModel_1000P[[#This Row],[Building]],Production[Building],0)),"")</f>
        <v>0</v>
      </c>
      <c r="CC98" s="78"/>
      <c r="CD98"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98"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98"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98" s="35">
        <f>IFERROR(INDEX(Production[Input 10],MATCH(IslandModel_1000P[[#This Row],[Building]],Production[Building],0)),"")</f>
        <v>0</v>
      </c>
      <c r="CH98" s="78"/>
      <c r="CI98"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98"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98"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98"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98" s="82" t="str">
        <f>IslandModel_1000P[[#This Row],[Resource Produced]]</f>
        <v>Copper Ingot</v>
      </c>
      <c r="CN98" s="42">
        <f>IslandModel_1000P[[#This Row],[Amount produced/h]]</f>
        <v>67.5</v>
      </c>
      <c r="CO98" s="42" t="str">
        <f>IslandModel_1000P[[#This Row],[Input 1]]</f>
        <v>Land tile</v>
      </c>
      <c r="CP98" s="42">
        <f>-IslandModel_1000P[[#This Row],[Input 1 Consumed]]</f>
        <v>-9</v>
      </c>
      <c r="CQ98" s="42" t="str">
        <f>IslandModel_1000P[[#This Row],[Input 2]]</f>
        <v>Copper Ore</v>
      </c>
      <c r="CR98" s="42">
        <f>-IslandModel_1000P[[#This Row],[Input 2 Consumed]]</f>
        <v>-67.5</v>
      </c>
      <c r="CS98" s="42" t="str">
        <f>IslandModel_1000P[[#This Row],[Input 3]]</f>
        <v>Wood</v>
      </c>
      <c r="CT98" s="42">
        <f>-IslandModel_1000P[[#This Row],[Input 3 Consumed]]</f>
        <v>-675</v>
      </c>
      <c r="CU98" s="42">
        <f>IslandModel_1000P[[#This Row],[Input 4]]</f>
        <v>0</v>
      </c>
      <c r="CV98" s="42">
        <f>-IslandModel_1000P[[#This Row],[Input 4 Consumed]]</f>
        <v>0</v>
      </c>
      <c r="CW98" s="42">
        <f>IslandModel_1000P[[#This Row],[Input 5]]</f>
        <v>0</v>
      </c>
      <c r="CX98" s="42">
        <f>-IslandModel_1000P[[#This Row],[Input 5 Consumed]]</f>
        <v>0</v>
      </c>
      <c r="CY98" s="42">
        <f>IslandModel_1000P[[#This Row],[Input 6]]</f>
        <v>0</v>
      </c>
      <c r="CZ98" s="42">
        <f>-IslandModel_1000P[[#This Row],[Input 6 Consumed]]</f>
        <v>0</v>
      </c>
      <c r="DA98" s="42">
        <f>IslandModel_1000P[[#This Row],[Input 7]]</f>
        <v>0</v>
      </c>
      <c r="DB98" s="42">
        <f>-IslandModel_1000P[[#This Row],[Input 7 Consumed]]</f>
        <v>0</v>
      </c>
      <c r="DC98" s="42">
        <f>IslandModel_1000P[[#This Row],[Input 8]]</f>
        <v>0</v>
      </c>
      <c r="DD98" s="42">
        <f>-IslandModel_1000P[[#This Row],[Input 8 Consumed]]</f>
        <v>0</v>
      </c>
      <c r="DE98" s="42">
        <f>IslandModel_1000P[[#This Row],[Input 9]]</f>
        <v>0</v>
      </c>
      <c r="DF98" s="42">
        <f>-IslandModel_1000P[[#This Row],[Input 9 Consumed]]</f>
        <v>0</v>
      </c>
      <c r="DG98" s="42">
        <f>IslandModel_1000P[[#This Row],[Input 10]]</f>
        <v>0</v>
      </c>
      <c r="DH98" s="42">
        <f>-IslandModel_1000P[[#This Row],[Input 10 Consumed]]</f>
        <v>0</v>
      </c>
      <c r="DJ98" s="69" t="s">
        <v>86</v>
      </c>
      <c r="DK98" s="39">
        <f>SUM(SUMIFS(IslandModel_1000P[Resource 1 Qty],IslandModel_1000P[Resource 1],ResourceAvailable_1000P[[#This Row],[Resource]]))</f>
        <v>1200</v>
      </c>
      <c r="DL98"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1080</v>
      </c>
      <c r="DM98" s="39">
        <f>ResourceAvailable_1000P[[#This Row],[Amount Produced]]-ResourceAvailable_1000P[[#This Row],[Amount Consumed]]</f>
        <v>120</v>
      </c>
      <c r="DN98" s="20">
        <f>MAX(0,ResourceAvailable_1000P[[#This Row],[Amount Available for Resident Consumption]]-SUMIFS(ConsumptionModel_1000P[Resource Demand],ConsumptionModel_1000P[Resource],ResourceAvailable_1000P[[#This Row],[Resource]]))</f>
        <v>120</v>
      </c>
    </row>
    <row r="99" spans="29:118" ht="44.25" x14ac:dyDescent="0.65">
      <c r="AC99" s="103" t="s">
        <v>660</v>
      </c>
      <c r="AD99" s="83">
        <f>ROW()</f>
        <v>99</v>
      </c>
      <c r="AE99" s="74">
        <v>7</v>
      </c>
      <c r="AF99" s="72" t="s">
        <v>426</v>
      </c>
      <c r="AG99" s="18"/>
      <c r="AH99" s="74">
        <v>7</v>
      </c>
      <c r="AI99" s="156">
        <f>IFERROR(IslandModel_1000P[[#This Row],[Quantity]]/IslandModel_1000P[[#This Row],[Target Quantity]],0)</f>
        <v>1</v>
      </c>
      <c r="AJ99" s="61" t="str">
        <f>IFERROR(INDEX(Production[Resource Produced],MATCH(IslandModel_1000P[[#This Row],[Building]],Production[Building],0)),"")</f>
        <v>Candle</v>
      </c>
      <c r="AK99" s="99">
        <f>IFERROR(IslandModel_1000P[[#This Row],[Quantity]]*INDEX(Production[Production in 1h],MATCH(IslandModel_1000P[[#This Row],[Building]],Production[Building],0))*IslandModel_1000P[[#This Row],[Input Consumption Multiplier]],0)</f>
        <v>187.5</v>
      </c>
      <c r="AL99" s="115">
        <f>100%</f>
        <v>1</v>
      </c>
      <c r="AM99"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Linseed: 93.75/105, Honey: 195/210</v>
      </c>
      <c r="AN99" s="77" t="str">
        <f>IFERROR(INDEX(Production[Input 1],MATCH(IslandModel_1000P[[#This Row],[Building]],Production[Building],0)),"")</f>
        <v>Land tile</v>
      </c>
      <c r="AO99" s="78"/>
      <c r="AP99"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7</v>
      </c>
      <c r="AQ99"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1143.020833333333</v>
      </c>
      <c r="AR99"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6.25</v>
      </c>
      <c r="AS99" s="35" t="str">
        <f>IFERROR(INDEX(Production[Input 2],MATCH(IslandModel_1000P[[#This Row],[Building]],Production[Building],0)),"")</f>
        <v>Linseed</v>
      </c>
      <c r="AT99" s="78"/>
      <c r="AU99"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105</v>
      </c>
      <c r="AV99"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93.75</v>
      </c>
      <c r="AW99"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93.75</v>
      </c>
      <c r="AX99" s="35" t="str">
        <f>IFERROR(INDEX(Production[Input 3],MATCH(IslandModel_1000P[[#This Row],[Building]],Production[Building],0)),"")</f>
        <v>Honey</v>
      </c>
      <c r="AY99" s="78"/>
      <c r="AZ99"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210</v>
      </c>
      <c r="BA99"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195</v>
      </c>
      <c r="BB99"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187.5</v>
      </c>
      <c r="BC99" s="35">
        <f>IFERROR(INDEX(Production[Input 4],MATCH(IslandModel_1000P[[#This Row],[Building]],Production[Building],0)),"")</f>
        <v>0</v>
      </c>
      <c r="BD99" s="78"/>
      <c r="BE99"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99"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99"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99" s="35">
        <f>IFERROR(INDEX(Production[Input 5],MATCH(IslandModel_1000P[[#This Row],[Building]],Production[Building],0)),"")</f>
        <v>0</v>
      </c>
      <c r="BI99" s="78"/>
      <c r="BJ99"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99"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99"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99" s="35">
        <f>IFERROR(INDEX(Production[Input 6],MATCH(IslandModel_1000P[[#This Row],[Building]],Production[Building],0)),"")</f>
        <v>0</v>
      </c>
      <c r="BN99" s="78"/>
      <c r="BO99"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99"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99"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99" s="35">
        <f>IFERROR(INDEX(Production[Input 7],MATCH(IslandModel_1000P[[#This Row],[Building]],Production[Building],0)),"")</f>
        <v>0</v>
      </c>
      <c r="BS99" s="78"/>
      <c r="BT99"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99"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99"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99" s="35">
        <f>IFERROR(INDEX(Production[Input 8],MATCH(IslandModel_1000P[[#This Row],[Building]],Production[Building],0)),"")</f>
        <v>0</v>
      </c>
      <c r="BX99" s="78"/>
      <c r="BY99"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99"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99"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99" s="35">
        <f>IFERROR(INDEX(Production[Input 9],MATCH(IslandModel_1000P[[#This Row],[Building]],Production[Building],0)),"")</f>
        <v>0</v>
      </c>
      <c r="CC99" s="78"/>
      <c r="CD99"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99"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99"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99" s="35">
        <f>IFERROR(INDEX(Production[Input 10],MATCH(IslandModel_1000P[[#This Row],[Building]],Production[Building],0)),"")</f>
        <v>0</v>
      </c>
      <c r="CH99" s="78"/>
      <c r="CI99"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99"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99"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99"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0.8928571428571429</v>
      </c>
      <c r="CM99" s="82" t="str">
        <f>IslandModel_1000P[[#This Row],[Resource Produced]]</f>
        <v>Candle</v>
      </c>
      <c r="CN99" s="42">
        <f>IslandModel_1000P[[#This Row],[Amount produced/h]]</f>
        <v>187.5</v>
      </c>
      <c r="CO99" s="42" t="str">
        <f>IslandModel_1000P[[#This Row],[Input 1]]</f>
        <v>Land tile</v>
      </c>
      <c r="CP99" s="42">
        <f>-IslandModel_1000P[[#This Row],[Input 1 Consumed]]</f>
        <v>-6.25</v>
      </c>
      <c r="CQ99" s="42" t="str">
        <f>IslandModel_1000P[[#This Row],[Input 2]]</f>
        <v>Linseed</v>
      </c>
      <c r="CR99" s="42">
        <f>-IslandModel_1000P[[#This Row],[Input 2 Consumed]]</f>
        <v>-93.75</v>
      </c>
      <c r="CS99" s="42" t="str">
        <f>IslandModel_1000P[[#This Row],[Input 3]]</f>
        <v>Honey</v>
      </c>
      <c r="CT99" s="42">
        <f>-IslandModel_1000P[[#This Row],[Input 3 Consumed]]</f>
        <v>-187.5</v>
      </c>
      <c r="CU99" s="42">
        <f>IslandModel_1000P[[#This Row],[Input 4]]</f>
        <v>0</v>
      </c>
      <c r="CV99" s="42">
        <f>-IslandModel_1000P[[#This Row],[Input 4 Consumed]]</f>
        <v>0</v>
      </c>
      <c r="CW99" s="42">
        <f>IslandModel_1000P[[#This Row],[Input 5]]</f>
        <v>0</v>
      </c>
      <c r="CX99" s="42">
        <f>-IslandModel_1000P[[#This Row],[Input 5 Consumed]]</f>
        <v>0</v>
      </c>
      <c r="CY99" s="42">
        <f>IslandModel_1000P[[#This Row],[Input 6]]</f>
        <v>0</v>
      </c>
      <c r="CZ99" s="42">
        <f>-IslandModel_1000P[[#This Row],[Input 6 Consumed]]</f>
        <v>0</v>
      </c>
      <c r="DA99" s="42">
        <f>IslandModel_1000P[[#This Row],[Input 7]]</f>
        <v>0</v>
      </c>
      <c r="DB99" s="42">
        <f>-IslandModel_1000P[[#This Row],[Input 7 Consumed]]</f>
        <v>0</v>
      </c>
      <c r="DC99" s="42">
        <f>IslandModel_1000P[[#This Row],[Input 8]]</f>
        <v>0</v>
      </c>
      <c r="DD99" s="42">
        <f>-IslandModel_1000P[[#This Row],[Input 8 Consumed]]</f>
        <v>0</v>
      </c>
      <c r="DE99" s="42">
        <f>IslandModel_1000P[[#This Row],[Input 9]]</f>
        <v>0</v>
      </c>
      <c r="DF99" s="42">
        <f>-IslandModel_1000P[[#This Row],[Input 9 Consumed]]</f>
        <v>0</v>
      </c>
      <c r="DG99" s="42">
        <f>IslandModel_1000P[[#This Row],[Input 10]]</f>
        <v>0</v>
      </c>
      <c r="DH99" s="42">
        <f>-IslandModel_1000P[[#This Row],[Input 10 Consumed]]</f>
        <v>0</v>
      </c>
      <c r="DJ99" s="69" t="s">
        <v>164</v>
      </c>
      <c r="DK99" s="39">
        <f>SUM(SUMIFS(IslandModel_1000P[Resource 1 Qty],IslandModel_1000P[Resource 1],ResourceAvailable_1000P[[#This Row],[Resource]]))</f>
        <v>0</v>
      </c>
      <c r="DL99"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99" s="39">
        <f>ResourceAvailable_1000P[[#This Row],[Amount Produced]]-ResourceAvailable_1000P[[#This Row],[Amount Consumed]]</f>
        <v>0</v>
      </c>
      <c r="DN99" s="20">
        <f>MAX(0,ResourceAvailable_1000P[[#This Row],[Amount Available for Resident Consumption]]-SUMIFS(ConsumptionModel_1000P[Resource Demand],ConsumptionModel_1000P[Resource],ResourceAvailable_1000P[[#This Row],[Resource]]))</f>
        <v>0</v>
      </c>
    </row>
    <row r="100" spans="29:118" ht="58.5" x14ac:dyDescent="0.65">
      <c r="AC100" s="103" t="s">
        <v>660</v>
      </c>
      <c r="AD100" s="83">
        <f>ROW()</f>
        <v>100</v>
      </c>
      <c r="AE100" s="74">
        <v>5</v>
      </c>
      <c r="AF100" s="72" t="s">
        <v>427</v>
      </c>
      <c r="AG100" s="18"/>
      <c r="AH100" s="74">
        <v>5</v>
      </c>
      <c r="AI100" s="156">
        <f>IFERROR(IslandModel_1000P[[#This Row],[Quantity]]/IslandModel_1000P[[#This Row],[Target Quantity]],0)</f>
        <v>1</v>
      </c>
      <c r="AJ100" s="61" t="str">
        <f>IFERROR(INDEX(Production[Resource Produced],MATCH(IslandModel_1000P[[#This Row],[Building]],Production[Building],0)),"")</f>
        <v>Candle Holder</v>
      </c>
      <c r="AK100" s="99">
        <f>IFERROR(IslandModel_1000P[[#This Row],[Quantity]]*INDEX(Production[Production in 1h],MATCH(IslandModel_1000P[[#This Row],[Building]],Production[Building],0))*IslandModel_1000P[[#This Row],[Input Consumption Multiplier]],0)</f>
        <v>187.5</v>
      </c>
      <c r="AL100" s="115">
        <f>100%</f>
        <v>1</v>
      </c>
      <c r="AM100"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Candle: 187.5/225, Copper Ingot: 67.5/75</v>
      </c>
      <c r="AN100" s="77" t="str">
        <f>IFERROR(INDEX(Production[Input 1],MATCH(IslandModel_1000P[[#This Row],[Building]],Production[Building],0)),"")</f>
        <v>Land tile</v>
      </c>
      <c r="AO100" s="78"/>
      <c r="AP100"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5</v>
      </c>
      <c r="AQ100"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1136.770833333333</v>
      </c>
      <c r="AR100"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4.166666666666667</v>
      </c>
      <c r="AS100" s="35" t="str">
        <f>IFERROR(INDEX(Production[Input 2],MATCH(IslandModel_1000P[[#This Row],[Building]],Production[Building],0)),"")</f>
        <v>Candle</v>
      </c>
      <c r="AT100" s="78"/>
      <c r="AU100"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225</v>
      </c>
      <c r="AV100"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187.5</v>
      </c>
      <c r="AW100"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187.5</v>
      </c>
      <c r="AX100" s="35" t="str">
        <f>IFERROR(INDEX(Production[Input 3],MATCH(IslandModel_1000P[[#This Row],[Building]],Production[Building],0)),"")</f>
        <v>Copper Ingot</v>
      </c>
      <c r="AY100" s="78"/>
      <c r="AZ100"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75</v>
      </c>
      <c r="BA100"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67.5</v>
      </c>
      <c r="BB100"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62.5</v>
      </c>
      <c r="BC100" s="35">
        <f>IFERROR(INDEX(Production[Input 4],MATCH(IslandModel_1000P[[#This Row],[Building]],Production[Building],0)),"")</f>
        <v>0</v>
      </c>
      <c r="BD100" s="78"/>
      <c r="BE100"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00"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00"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00" s="35">
        <f>IFERROR(INDEX(Production[Input 5],MATCH(IslandModel_1000P[[#This Row],[Building]],Production[Building],0)),"")</f>
        <v>0</v>
      </c>
      <c r="BI100" s="78"/>
      <c r="BJ100"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00"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00"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00" s="35">
        <f>IFERROR(INDEX(Production[Input 6],MATCH(IslandModel_1000P[[#This Row],[Building]],Production[Building],0)),"")</f>
        <v>0</v>
      </c>
      <c r="BN100" s="78"/>
      <c r="BO100"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00"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00"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00" s="35">
        <f>IFERROR(INDEX(Production[Input 7],MATCH(IslandModel_1000P[[#This Row],[Building]],Production[Building],0)),"")</f>
        <v>0</v>
      </c>
      <c r="BS100" s="78"/>
      <c r="BT100"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00"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00"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00" s="35">
        <f>IFERROR(INDEX(Production[Input 8],MATCH(IslandModel_1000P[[#This Row],[Building]],Production[Building],0)),"")</f>
        <v>0</v>
      </c>
      <c r="BX100" s="78"/>
      <c r="BY100"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00"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00"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00" s="35">
        <f>IFERROR(INDEX(Production[Input 9],MATCH(IslandModel_1000P[[#This Row],[Building]],Production[Building],0)),"")</f>
        <v>0</v>
      </c>
      <c r="CC100" s="78"/>
      <c r="CD100"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00"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00"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00" s="35">
        <f>IFERROR(INDEX(Production[Input 10],MATCH(IslandModel_1000P[[#This Row],[Building]],Production[Building],0)),"")</f>
        <v>0</v>
      </c>
      <c r="CH100" s="78"/>
      <c r="CI100"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00"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00"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00"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0.83333333333333337</v>
      </c>
      <c r="CM100" s="82" t="str">
        <f>IslandModel_1000P[[#This Row],[Resource Produced]]</f>
        <v>Candle Holder</v>
      </c>
      <c r="CN100" s="42">
        <f>IslandModel_1000P[[#This Row],[Amount produced/h]]</f>
        <v>187.5</v>
      </c>
      <c r="CO100" s="42" t="str">
        <f>IslandModel_1000P[[#This Row],[Input 1]]</f>
        <v>Land tile</v>
      </c>
      <c r="CP100" s="42">
        <f>-IslandModel_1000P[[#This Row],[Input 1 Consumed]]</f>
        <v>-4.166666666666667</v>
      </c>
      <c r="CQ100" s="42" t="str">
        <f>IslandModel_1000P[[#This Row],[Input 2]]</f>
        <v>Candle</v>
      </c>
      <c r="CR100" s="42">
        <f>-IslandModel_1000P[[#This Row],[Input 2 Consumed]]</f>
        <v>-187.5</v>
      </c>
      <c r="CS100" s="42" t="str">
        <f>IslandModel_1000P[[#This Row],[Input 3]]</f>
        <v>Copper Ingot</v>
      </c>
      <c r="CT100" s="42">
        <f>-IslandModel_1000P[[#This Row],[Input 3 Consumed]]</f>
        <v>-62.5</v>
      </c>
      <c r="CU100" s="42">
        <f>IslandModel_1000P[[#This Row],[Input 4]]</f>
        <v>0</v>
      </c>
      <c r="CV100" s="42">
        <f>-IslandModel_1000P[[#This Row],[Input 4 Consumed]]</f>
        <v>0</v>
      </c>
      <c r="CW100" s="42">
        <f>IslandModel_1000P[[#This Row],[Input 5]]</f>
        <v>0</v>
      </c>
      <c r="CX100" s="42">
        <f>-IslandModel_1000P[[#This Row],[Input 5 Consumed]]</f>
        <v>0</v>
      </c>
      <c r="CY100" s="42">
        <f>IslandModel_1000P[[#This Row],[Input 6]]</f>
        <v>0</v>
      </c>
      <c r="CZ100" s="42">
        <f>-IslandModel_1000P[[#This Row],[Input 6 Consumed]]</f>
        <v>0</v>
      </c>
      <c r="DA100" s="42">
        <f>IslandModel_1000P[[#This Row],[Input 7]]</f>
        <v>0</v>
      </c>
      <c r="DB100" s="42">
        <f>-IslandModel_1000P[[#This Row],[Input 7 Consumed]]</f>
        <v>0</v>
      </c>
      <c r="DC100" s="42">
        <f>IslandModel_1000P[[#This Row],[Input 8]]</f>
        <v>0</v>
      </c>
      <c r="DD100" s="42">
        <f>-IslandModel_1000P[[#This Row],[Input 8 Consumed]]</f>
        <v>0</v>
      </c>
      <c r="DE100" s="42">
        <f>IslandModel_1000P[[#This Row],[Input 9]]</f>
        <v>0</v>
      </c>
      <c r="DF100" s="42">
        <f>-IslandModel_1000P[[#This Row],[Input 9 Consumed]]</f>
        <v>0</v>
      </c>
      <c r="DG100" s="42">
        <f>IslandModel_1000P[[#This Row],[Input 10]]</f>
        <v>0</v>
      </c>
      <c r="DH100" s="42">
        <f>-IslandModel_1000P[[#This Row],[Input 10 Consumed]]</f>
        <v>0</v>
      </c>
      <c r="DJ100" s="69" t="s">
        <v>365</v>
      </c>
      <c r="DK100" s="39">
        <f>SUM(SUMIFS(IslandModel_1000P[Resource 1 Qty],IslandModel_1000P[Resource 1],ResourceAvailable_1000P[[#This Row],[Resource]]))</f>
        <v>0</v>
      </c>
      <c r="DL100"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100" s="39">
        <f>ResourceAvailable_1000P[[#This Row],[Amount Produced]]-ResourceAvailable_1000P[[#This Row],[Amount Consumed]]</f>
        <v>0</v>
      </c>
      <c r="DN100" s="20">
        <f>MAX(0,ResourceAvailable_1000P[[#This Row],[Amount Available for Resident Consumption]]-SUMIFS(ConsumptionModel_1000P[Resource Demand],ConsumptionModel_1000P[Resource],ResourceAvailable_1000P[[#This Row],[Resource]]))</f>
        <v>0</v>
      </c>
    </row>
    <row r="101" spans="29:118" ht="21" x14ac:dyDescent="0.65">
      <c r="AC101" s="103" t="s">
        <v>379</v>
      </c>
      <c r="AD101" s="83">
        <f>ROW()</f>
        <v>101</v>
      </c>
      <c r="AE101" s="198">
        <f>AE102*4</f>
        <v>28</v>
      </c>
      <c r="AF101" s="50" t="s">
        <v>65</v>
      </c>
      <c r="AG101" s="18"/>
      <c r="AH101" s="198">
        <f>AH102*4</f>
        <v>28</v>
      </c>
      <c r="AI101" s="156">
        <f>IFERROR(IslandModel_1000P[[#This Row],[Quantity]]/IslandModel_1000P[[#This Row],[Target Quantity]],0)</f>
        <v>1</v>
      </c>
      <c r="AJ101" s="61" t="str">
        <f>IFERROR(INDEX(Production[Resource Produced],MATCH(IslandModel_1000P[[#This Row],[Building]],Production[Building],0)),"")</f>
        <v>Potato Field</v>
      </c>
      <c r="AK101" s="99">
        <f>IFERROR(IslandModel_1000P[[#This Row],[Quantity]]*INDEX(Production[Production in 1h],MATCH(IslandModel_1000P[[#This Row],[Building]],Production[Building],0))*IslandModel_1000P[[#This Row],[Input Consumption Multiplier]],0)</f>
        <v>28</v>
      </c>
      <c r="AL101" s="115">
        <f>100%</f>
        <v>1</v>
      </c>
      <c r="AM101"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01" s="77" t="str">
        <f>IFERROR(INDEX(Production[Input 1],MATCH(IslandModel_1000P[[#This Row],[Building]],Production[Building],0)),"")</f>
        <v>Land tile</v>
      </c>
      <c r="AO101" s="78"/>
      <c r="AP101"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28</v>
      </c>
      <c r="AQ101"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1132.6041666666665</v>
      </c>
      <c r="AR101"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28</v>
      </c>
      <c r="AS101" s="35">
        <f>IFERROR(INDEX(Production[Input 2],MATCH(IslandModel_1000P[[#This Row],[Building]],Production[Building],0)),"")</f>
        <v>0</v>
      </c>
      <c r="AT101" s="78"/>
      <c r="AU101"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01"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01"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01" s="35">
        <f>IFERROR(INDEX(Production[Input 3],MATCH(IslandModel_1000P[[#This Row],[Building]],Production[Building],0)),"")</f>
        <v>0</v>
      </c>
      <c r="AY101" s="78"/>
      <c r="AZ101"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01"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01"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01" s="35">
        <f>IFERROR(INDEX(Production[Input 4],MATCH(IslandModel_1000P[[#This Row],[Building]],Production[Building],0)),"")</f>
        <v>0</v>
      </c>
      <c r="BD101" s="78"/>
      <c r="BE101"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01"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01"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01" s="35">
        <f>IFERROR(INDEX(Production[Input 5],MATCH(IslandModel_1000P[[#This Row],[Building]],Production[Building],0)),"")</f>
        <v>0</v>
      </c>
      <c r="BI101" s="78"/>
      <c r="BJ101"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01"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01"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01" s="35">
        <f>IFERROR(INDEX(Production[Input 6],MATCH(IslandModel_1000P[[#This Row],[Building]],Production[Building],0)),"")</f>
        <v>0</v>
      </c>
      <c r="BN101" s="78"/>
      <c r="BO101"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01"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01"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01" s="35">
        <f>IFERROR(INDEX(Production[Input 7],MATCH(IslandModel_1000P[[#This Row],[Building]],Production[Building],0)),"")</f>
        <v>0</v>
      </c>
      <c r="BS101" s="78"/>
      <c r="BT101"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01"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01"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01" s="35">
        <f>IFERROR(INDEX(Production[Input 8],MATCH(IslandModel_1000P[[#This Row],[Building]],Production[Building],0)),"")</f>
        <v>0</v>
      </c>
      <c r="BX101" s="78"/>
      <c r="BY101"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01"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01"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01" s="35">
        <f>IFERROR(INDEX(Production[Input 9],MATCH(IslandModel_1000P[[#This Row],[Building]],Production[Building],0)),"")</f>
        <v>0</v>
      </c>
      <c r="CC101" s="78"/>
      <c r="CD101"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01"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01"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01" s="35">
        <f>IFERROR(INDEX(Production[Input 10],MATCH(IslandModel_1000P[[#This Row],[Building]],Production[Building],0)),"")</f>
        <v>0</v>
      </c>
      <c r="CH101" s="78"/>
      <c r="CI101"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01"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01"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01"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01" s="82" t="str">
        <f>IslandModel_1000P[[#This Row],[Resource Produced]]</f>
        <v>Potato Field</v>
      </c>
      <c r="CN101" s="42">
        <f>IslandModel_1000P[[#This Row],[Amount produced/h]]</f>
        <v>28</v>
      </c>
      <c r="CO101" s="42" t="str">
        <f>IslandModel_1000P[[#This Row],[Input 1]]</f>
        <v>Land tile</v>
      </c>
      <c r="CP101" s="42">
        <f>-IslandModel_1000P[[#This Row],[Input 1 Consumed]]</f>
        <v>-28</v>
      </c>
      <c r="CQ101" s="42">
        <f>IslandModel_1000P[[#This Row],[Input 2]]</f>
        <v>0</v>
      </c>
      <c r="CR101" s="42">
        <f>-IslandModel_1000P[[#This Row],[Input 2 Consumed]]</f>
        <v>0</v>
      </c>
      <c r="CS101" s="42">
        <f>IslandModel_1000P[[#This Row],[Input 3]]</f>
        <v>0</v>
      </c>
      <c r="CT101" s="42">
        <f>-IslandModel_1000P[[#This Row],[Input 3 Consumed]]</f>
        <v>0</v>
      </c>
      <c r="CU101" s="42">
        <f>IslandModel_1000P[[#This Row],[Input 4]]</f>
        <v>0</v>
      </c>
      <c r="CV101" s="42">
        <f>-IslandModel_1000P[[#This Row],[Input 4 Consumed]]</f>
        <v>0</v>
      </c>
      <c r="CW101" s="42">
        <f>IslandModel_1000P[[#This Row],[Input 5]]</f>
        <v>0</v>
      </c>
      <c r="CX101" s="42">
        <f>-IslandModel_1000P[[#This Row],[Input 5 Consumed]]</f>
        <v>0</v>
      </c>
      <c r="CY101" s="42">
        <f>IslandModel_1000P[[#This Row],[Input 6]]</f>
        <v>0</v>
      </c>
      <c r="CZ101" s="42">
        <f>-IslandModel_1000P[[#This Row],[Input 6 Consumed]]</f>
        <v>0</v>
      </c>
      <c r="DA101" s="42">
        <f>IslandModel_1000P[[#This Row],[Input 7]]</f>
        <v>0</v>
      </c>
      <c r="DB101" s="42">
        <f>-IslandModel_1000P[[#This Row],[Input 7 Consumed]]</f>
        <v>0</v>
      </c>
      <c r="DC101" s="42">
        <f>IslandModel_1000P[[#This Row],[Input 8]]</f>
        <v>0</v>
      </c>
      <c r="DD101" s="42">
        <f>-IslandModel_1000P[[#This Row],[Input 8 Consumed]]</f>
        <v>0</v>
      </c>
      <c r="DE101" s="42">
        <f>IslandModel_1000P[[#This Row],[Input 9]]</f>
        <v>0</v>
      </c>
      <c r="DF101" s="42">
        <f>-IslandModel_1000P[[#This Row],[Input 9 Consumed]]</f>
        <v>0</v>
      </c>
      <c r="DG101" s="42">
        <f>IslandModel_1000P[[#This Row],[Input 10]]</f>
        <v>0</v>
      </c>
      <c r="DH101" s="42">
        <f>-IslandModel_1000P[[#This Row],[Input 10 Consumed]]</f>
        <v>0</v>
      </c>
      <c r="DJ101" s="69" t="s">
        <v>85</v>
      </c>
      <c r="DK101" s="39">
        <f>SUM(SUMIFS(IslandModel_1000P[Resource 1 Qty],IslandModel_1000P[Resource 1],ResourceAvailable_1000P[[#This Row],[Resource]]))</f>
        <v>0</v>
      </c>
      <c r="DL101"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101" s="39">
        <f>ResourceAvailable_1000P[[#This Row],[Amount Produced]]-ResourceAvailable_1000P[[#This Row],[Amount Consumed]]</f>
        <v>0</v>
      </c>
      <c r="DN101" s="20">
        <f>MAX(0,ResourceAvailable_1000P[[#This Row],[Amount Available for Resident Consumption]]-SUMIFS(ConsumptionModel_1000P[Resource Demand],ConsumptionModel_1000P[Resource],ResourceAvailable_1000P[[#This Row],[Resource]]))</f>
        <v>0</v>
      </c>
    </row>
    <row r="102" spans="29:118" ht="21" x14ac:dyDescent="0.65">
      <c r="AC102" s="103" t="s">
        <v>379</v>
      </c>
      <c r="AD102" s="83">
        <f>ROW()</f>
        <v>102</v>
      </c>
      <c r="AE102" s="74">
        <v>7</v>
      </c>
      <c r="AF102" s="50" t="s">
        <v>67</v>
      </c>
      <c r="AG102" s="18"/>
      <c r="AH102" s="74">
        <v>7</v>
      </c>
      <c r="AI102" s="156">
        <f>IFERROR(IslandModel_1000P[[#This Row],[Quantity]]/IslandModel_1000P[[#This Row],[Target Quantity]],0)</f>
        <v>1</v>
      </c>
      <c r="AJ102" s="61" t="str">
        <f>IFERROR(INDEX(Production[Resource Produced],MATCH(IslandModel_1000P[[#This Row],[Building]],Production[Building],0)),"")</f>
        <v>Schnapps</v>
      </c>
      <c r="AK102" s="99">
        <f>IFERROR(IslandModel_1000P[[#This Row],[Quantity]]*INDEX(Production[Production in 1h],MATCH(IslandModel_1000P[[#This Row],[Building]],Production[Building],0))*IslandModel_1000P[[#This Row],[Input Consumption Multiplier]],0)</f>
        <v>420</v>
      </c>
      <c r="AL102" s="115">
        <f>100%</f>
        <v>1</v>
      </c>
      <c r="AM102"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02" s="77" t="str">
        <f>IFERROR(INDEX(Production[Input 1],MATCH(IslandModel_1000P[[#This Row],[Building]],Production[Building],0)),"")</f>
        <v>Land tile</v>
      </c>
      <c r="AO102" s="78"/>
      <c r="AP102"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7</v>
      </c>
      <c r="AQ102"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1104.6041666666665</v>
      </c>
      <c r="AR102"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7</v>
      </c>
      <c r="AS102" s="35" t="str">
        <f>IFERROR(INDEX(Production[Input 2],MATCH(IslandModel_1000P[[#This Row],[Building]],Production[Building],0)),"")</f>
        <v>Potato Field</v>
      </c>
      <c r="AT102" s="78"/>
      <c r="AU102"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28</v>
      </c>
      <c r="AV102"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28</v>
      </c>
      <c r="AW102"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28</v>
      </c>
      <c r="AX102" s="35">
        <f>IFERROR(INDEX(Production[Input 3],MATCH(IslandModel_1000P[[#This Row],[Building]],Production[Building],0)),"")</f>
        <v>0</v>
      </c>
      <c r="AY102" s="78"/>
      <c r="AZ102"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02"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02"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02" s="35">
        <f>IFERROR(INDEX(Production[Input 4],MATCH(IslandModel_1000P[[#This Row],[Building]],Production[Building],0)),"")</f>
        <v>0</v>
      </c>
      <c r="BD102" s="78"/>
      <c r="BE102"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02"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02"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02" s="35">
        <f>IFERROR(INDEX(Production[Input 5],MATCH(IslandModel_1000P[[#This Row],[Building]],Production[Building],0)),"")</f>
        <v>0</v>
      </c>
      <c r="BI102" s="78"/>
      <c r="BJ102"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02"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02"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02" s="35">
        <f>IFERROR(INDEX(Production[Input 6],MATCH(IslandModel_1000P[[#This Row],[Building]],Production[Building],0)),"")</f>
        <v>0</v>
      </c>
      <c r="BN102" s="78"/>
      <c r="BO102"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02"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02"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02" s="35">
        <f>IFERROR(INDEX(Production[Input 7],MATCH(IslandModel_1000P[[#This Row],[Building]],Production[Building],0)),"")</f>
        <v>0</v>
      </c>
      <c r="BS102" s="78"/>
      <c r="BT102"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02"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02"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02" s="35">
        <f>IFERROR(INDEX(Production[Input 8],MATCH(IslandModel_1000P[[#This Row],[Building]],Production[Building],0)),"")</f>
        <v>0</v>
      </c>
      <c r="BX102" s="78"/>
      <c r="BY102"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02"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02"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02" s="35">
        <f>IFERROR(INDEX(Production[Input 9],MATCH(IslandModel_1000P[[#This Row],[Building]],Production[Building],0)),"")</f>
        <v>0</v>
      </c>
      <c r="CC102" s="78"/>
      <c r="CD102"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02"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02"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02" s="35">
        <f>IFERROR(INDEX(Production[Input 10],MATCH(IslandModel_1000P[[#This Row],[Building]],Production[Building],0)),"")</f>
        <v>0</v>
      </c>
      <c r="CH102" s="78"/>
      <c r="CI102"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02"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02"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02"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02" s="82" t="str">
        <f>IslandModel_1000P[[#This Row],[Resource Produced]]</f>
        <v>Schnapps</v>
      </c>
      <c r="CN102" s="42">
        <f>IslandModel_1000P[[#This Row],[Amount produced/h]]</f>
        <v>420</v>
      </c>
      <c r="CO102" s="42" t="str">
        <f>IslandModel_1000P[[#This Row],[Input 1]]</f>
        <v>Land tile</v>
      </c>
      <c r="CP102" s="42">
        <f>-IslandModel_1000P[[#This Row],[Input 1 Consumed]]</f>
        <v>-7</v>
      </c>
      <c r="CQ102" s="42" t="str">
        <f>IslandModel_1000P[[#This Row],[Input 2]]</f>
        <v>Potato Field</v>
      </c>
      <c r="CR102" s="42">
        <f>-IslandModel_1000P[[#This Row],[Input 2 Consumed]]</f>
        <v>-28</v>
      </c>
      <c r="CS102" s="42">
        <f>IslandModel_1000P[[#This Row],[Input 3]]</f>
        <v>0</v>
      </c>
      <c r="CT102" s="42">
        <f>-IslandModel_1000P[[#This Row],[Input 3 Consumed]]</f>
        <v>0</v>
      </c>
      <c r="CU102" s="42">
        <f>IslandModel_1000P[[#This Row],[Input 4]]</f>
        <v>0</v>
      </c>
      <c r="CV102" s="42">
        <f>-IslandModel_1000P[[#This Row],[Input 4 Consumed]]</f>
        <v>0</v>
      </c>
      <c r="CW102" s="42">
        <f>IslandModel_1000P[[#This Row],[Input 5]]</f>
        <v>0</v>
      </c>
      <c r="CX102" s="42">
        <f>-IslandModel_1000P[[#This Row],[Input 5 Consumed]]</f>
        <v>0</v>
      </c>
      <c r="CY102" s="42">
        <f>IslandModel_1000P[[#This Row],[Input 6]]</f>
        <v>0</v>
      </c>
      <c r="CZ102" s="42">
        <f>-IslandModel_1000P[[#This Row],[Input 6 Consumed]]</f>
        <v>0</v>
      </c>
      <c r="DA102" s="42">
        <f>IslandModel_1000P[[#This Row],[Input 7]]</f>
        <v>0</v>
      </c>
      <c r="DB102" s="42">
        <f>-IslandModel_1000P[[#This Row],[Input 7 Consumed]]</f>
        <v>0</v>
      </c>
      <c r="DC102" s="42">
        <f>IslandModel_1000P[[#This Row],[Input 8]]</f>
        <v>0</v>
      </c>
      <c r="DD102" s="42">
        <f>-IslandModel_1000P[[#This Row],[Input 8 Consumed]]</f>
        <v>0</v>
      </c>
      <c r="DE102" s="42">
        <f>IslandModel_1000P[[#This Row],[Input 9]]</f>
        <v>0</v>
      </c>
      <c r="DF102" s="42">
        <f>-IslandModel_1000P[[#This Row],[Input 9 Consumed]]</f>
        <v>0</v>
      </c>
      <c r="DG102" s="42">
        <f>IslandModel_1000P[[#This Row],[Input 10]]</f>
        <v>0</v>
      </c>
      <c r="DH102" s="42">
        <f>-IslandModel_1000P[[#This Row],[Input 10 Consumed]]</f>
        <v>0</v>
      </c>
      <c r="DJ102" s="69" t="s">
        <v>387</v>
      </c>
      <c r="DK102" s="39">
        <f>SUM(SUMIFS(IslandModel_1000P[Resource 1 Qty],IslandModel_1000P[Resource 1],ResourceAvailable_1000P[[#This Row],[Resource]]))</f>
        <v>30</v>
      </c>
      <c r="DL102"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30</v>
      </c>
      <c r="DM102" s="39">
        <f>ResourceAvailable_1000P[[#This Row],[Amount Produced]]-ResourceAvailable_1000P[[#This Row],[Amount Consumed]]</f>
        <v>0</v>
      </c>
      <c r="DN102" s="20">
        <f>MAX(0,ResourceAvailable_1000P[[#This Row],[Amount Available for Resident Consumption]]-SUMIFS(ConsumptionModel_1000P[Resource Demand],ConsumptionModel_1000P[Resource],ResourceAvailable_1000P[[#This Row],[Resource]]))</f>
        <v>0</v>
      </c>
    </row>
    <row r="103" spans="29:118" ht="21" x14ac:dyDescent="0.65">
      <c r="AC103" s="103" t="s">
        <v>379</v>
      </c>
      <c r="AD103" s="83">
        <f>ROW()</f>
        <v>103</v>
      </c>
      <c r="AE103" s="198">
        <f>AE104*8</f>
        <v>104</v>
      </c>
      <c r="AF103" s="50" t="s">
        <v>653</v>
      </c>
      <c r="AG103" s="18"/>
      <c r="AH103" s="198">
        <f>AH104*8</f>
        <v>104</v>
      </c>
      <c r="AI103" s="156">
        <f>IFERROR(IslandModel_1000P[[#This Row],[Quantity]]/IslandModel_1000P[[#This Row],[Target Quantity]],0)</f>
        <v>1</v>
      </c>
      <c r="AJ103" s="61" t="str">
        <f>IFERROR(INDEX(Production[Resource Produced],MATCH(IslandModel_1000P[[#This Row],[Building]],Production[Building],0)),"")</f>
        <v>Beehive</v>
      </c>
      <c r="AK103" s="99">
        <f>IFERROR(IslandModel_1000P[[#This Row],[Quantity]]*INDEX(Production[Production in 1h],MATCH(IslandModel_1000P[[#This Row],[Building]],Production[Building],0))*IslandModel_1000P[[#This Row],[Input Consumption Multiplier]],0)</f>
        <v>104</v>
      </c>
      <c r="AL103" s="115">
        <f>100%</f>
        <v>1</v>
      </c>
      <c r="AM103"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03" s="77" t="str">
        <f>IFERROR(INDEX(Production[Input 1],MATCH(IslandModel_1000P[[#This Row],[Building]],Production[Building],0)),"")</f>
        <v>Land tile</v>
      </c>
      <c r="AO103" s="78"/>
      <c r="AP103"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104</v>
      </c>
      <c r="AQ103"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1097.6041666666665</v>
      </c>
      <c r="AR103"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104</v>
      </c>
      <c r="AS103" s="35">
        <f>IFERROR(INDEX(Production[Input 2],MATCH(IslandModel_1000P[[#This Row],[Building]],Production[Building],0)),"")</f>
        <v>0</v>
      </c>
      <c r="AT103" s="78"/>
      <c r="AU103"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03"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03"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03" s="35">
        <f>IFERROR(INDEX(Production[Input 3],MATCH(IslandModel_1000P[[#This Row],[Building]],Production[Building],0)),"")</f>
        <v>0</v>
      </c>
      <c r="AY103" s="78"/>
      <c r="AZ103"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03"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03"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03" s="35">
        <f>IFERROR(INDEX(Production[Input 4],MATCH(IslandModel_1000P[[#This Row],[Building]],Production[Building],0)),"")</f>
        <v>0</v>
      </c>
      <c r="BD103" s="78"/>
      <c r="BE103"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03"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03"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03" s="35">
        <f>IFERROR(INDEX(Production[Input 5],MATCH(IslandModel_1000P[[#This Row],[Building]],Production[Building],0)),"")</f>
        <v>0</v>
      </c>
      <c r="BI103" s="78"/>
      <c r="BJ103"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03"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03"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03" s="35">
        <f>IFERROR(INDEX(Production[Input 6],MATCH(IslandModel_1000P[[#This Row],[Building]],Production[Building],0)),"")</f>
        <v>0</v>
      </c>
      <c r="BN103" s="78"/>
      <c r="BO103"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03"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03"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03" s="35">
        <f>IFERROR(INDEX(Production[Input 7],MATCH(IslandModel_1000P[[#This Row],[Building]],Production[Building],0)),"")</f>
        <v>0</v>
      </c>
      <c r="BS103" s="78"/>
      <c r="BT103"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03"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03"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03" s="35">
        <f>IFERROR(INDEX(Production[Input 8],MATCH(IslandModel_1000P[[#This Row],[Building]],Production[Building],0)),"")</f>
        <v>0</v>
      </c>
      <c r="BX103" s="78"/>
      <c r="BY103"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03"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03"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03" s="35">
        <f>IFERROR(INDEX(Production[Input 9],MATCH(IslandModel_1000P[[#This Row],[Building]],Production[Building],0)),"")</f>
        <v>0</v>
      </c>
      <c r="CC103" s="78"/>
      <c r="CD103"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03"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03"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03" s="35">
        <f>IFERROR(INDEX(Production[Input 10],MATCH(IslandModel_1000P[[#This Row],[Building]],Production[Building],0)),"")</f>
        <v>0</v>
      </c>
      <c r="CH103" s="78"/>
      <c r="CI103"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03"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03"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03"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03" s="82" t="str">
        <f>IslandModel_1000P[[#This Row],[Resource Produced]]</f>
        <v>Beehive</v>
      </c>
      <c r="CN103" s="42">
        <f>IslandModel_1000P[[#This Row],[Amount produced/h]]</f>
        <v>104</v>
      </c>
      <c r="CO103" s="42" t="str">
        <f>IslandModel_1000P[[#This Row],[Input 1]]</f>
        <v>Land tile</v>
      </c>
      <c r="CP103" s="42">
        <f>-IslandModel_1000P[[#This Row],[Input 1 Consumed]]</f>
        <v>-104</v>
      </c>
      <c r="CQ103" s="42">
        <f>IslandModel_1000P[[#This Row],[Input 2]]</f>
        <v>0</v>
      </c>
      <c r="CR103" s="42">
        <f>-IslandModel_1000P[[#This Row],[Input 2 Consumed]]</f>
        <v>0</v>
      </c>
      <c r="CS103" s="42">
        <f>IslandModel_1000P[[#This Row],[Input 3]]</f>
        <v>0</v>
      </c>
      <c r="CT103" s="42">
        <f>-IslandModel_1000P[[#This Row],[Input 3 Consumed]]</f>
        <v>0</v>
      </c>
      <c r="CU103" s="42">
        <f>IslandModel_1000P[[#This Row],[Input 4]]</f>
        <v>0</v>
      </c>
      <c r="CV103" s="42">
        <f>-IslandModel_1000P[[#This Row],[Input 4 Consumed]]</f>
        <v>0</v>
      </c>
      <c r="CW103" s="42">
        <f>IslandModel_1000P[[#This Row],[Input 5]]</f>
        <v>0</v>
      </c>
      <c r="CX103" s="42">
        <f>-IslandModel_1000P[[#This Row],[Input 5 Consumed]]</f>
        <v>0</v>
      </c>
      <c r="CY103" s="42">
        <f>IslandModel_1000P[[#This Row],[Input 6]]</f>
        <v>0</v>
      </c>
      <c r="CZ103" s="42">
        <f>-IslandModel_1000P[[#This Row],[Input 6 Consumed]]</f>
        <v>0</v>
      </c>
      <c r="DA103" s="42">
        <f>IslandModel_1000P[[#This Row],[Input 7]]</f>
        <v>0</v>
      </c>
      <c r="DB103" s="42">
        <f>-IslandModel_1000P[[#This Row],[Input 7 Consumed]]</f>
        <v>0</v>
      </c>
      <c r="DC103" s="42">
        <f>IslandModel_1000P[[#This Row],[Input 8]]</f>
        <v>0</v>
      </c>
      <c r="DD103" s="42">
        <f>-IslandModel_1000P[[#This Row],[Input 8 Consumed]]</f>
        <v>0</v>
      </c>
      <c r="DE103" s="42">
        <f>IslandModel_1000P[[#This Row],[Input 9]]</f>
        <v>0</v>
      </c>
      <c r="DF103" s="42">
        <f>-IslandModel_1000P[[#This Row],[Input 9 Consumed]]</f>
        <v>0</v>
      </c>
      <c r="DG103" s="42">
        <f>IslandModel_1000P[[#This Row],[Input 10]]</f>
        <v>0</v>
      </c>
      <c r="DH103" s="42">
        <f>-IslandModel_1000P[[#This Row],[Input 10 Consumed]]</f>
        <v>0</v>
      </c>
      <c r="DJ103" s="69" t="s">
        <v>165</v>
      </c>
      <c r="DK103" s="39">
        <f>SUM(SUMIFS(IslandModel_1000P[Resource 1 Qty],IslandModel_1000P[Resource 1],ResourceAvailable_1000P[[#This Row],[Resource]]))</f>
        <v>165</v>
      </c>
      <c r="DL103"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165</v>
      </c>
      <c r="DM103" s="39">
        <f>ResourceAvailable_1000P[[#This Row],[Amount Produced]]-ResourceAvailable_1000P[[#This Row],[Amount Consumed]]</f>
        <v>0</v>
      </c>
      <c r="DN103" s="20">
        <f>MAX(0,ResourceAvailable_1000P[[#This Row],[Amount Available for Resident Consumption]]-SUMIFS(ConsumptionModel_1000P[Resource Demand],ConsumptionModel_1000P[Resource],ResourceAvailable_1000P[[#This Row],[Resource]]))</f>
        <v>0</v>
      </c>
    </row>
    <row r="104" spans="29:118" ht="21" x14ac:dyDescent="0.65">
      <c r="AC104" s="103" t="s">
        <v>379</v>
      </c>
      <c r="AD104" s="83">
        <f>ROW()</f>
        <v>104</v>
      </c>
      <c r="AE104" s="74">
        <v>13</v>
      </c>
      <c r="AF104" s="50" t="s">
        <v>425</v>
      </c>
      <c r="AG104" s="18"/>
      <c r="AH104" s="74">
        <v>13</v>
      </c>
      <c r="AI104" s="156">
        <f>IFERROR(IslandModel_1000P[[#This Row],[Quantity]]/IslandModel_1000P[[#This Row],[Target Quantity]],0)</f>
        <v>1</v>
      </c>
      <c r="AJ104" s="61" t="str">
        <f>IFERROR(INDEX(Production[Resource Produced],MATCH(IslandModel_1000P[[#This Row],[Building]],Production[Building],0)),"")</f>
        <v>Honey</v>
      </c>
      <c r="AK104" s="99">
        <f>IFERROR(IslandModel_1000P[[#This Row],[Quantity]]*INDEX(Production[Production in 1h],MATCH(IslandModel_1000P[[#This Row],[Building]],Production[Building],0))*IslandModel_1000P[[#This Row],[Input Consumption Multiplier]],0)</f>
        <v>195</v>
      </c>
      <c r="AL104" s="115">
        <f>100%</f>
        <v>1</v>
      </c>
      <c r="AM104"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04" s="77" t="str">
        <f>IFERROR(INDEX(Production[Input 1],MATCH(IslandModel_1000P[[#This Row],[Building]],Production[Building],0)),"")</f>
        <v>Land tile</v>
      </c>
      <c r="AO104" s="78"/>
      <c r="AP104"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13</v>
      </c>
      <c r="AQ104"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993.60416666666652</v>
      </c>
      <c r="AR104"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13</v>
      </c>
      <c r="AS104" s="35" t="str">
        <f>IFERROR(INDEX(Production[Input 2],MATCH(IslandModel_1000P[[#This Row],[Building]],Production[Building],0)),"")</f>
        <v>Beehive</v>
      </c>
      <c r="AT104" s="78"/>
      <c r="AU104"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104</v>
      </c>
      <c r="AV104"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104</v>
      </c>
      <c r="AW104"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104</v>
      </c>
      <c r="AX104" s="35">
        <f>IFERROR(INDEX(Production[Input 3],MATCH(IslandModel_1000P[[#This Row],[Building]],Production[Building],0)),"")</f>
        <v>0</v>
      </c>
      <c r="AY104" s="78"/>
      <c r="AZ104"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04"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04"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04" s="35">
        <f>IFERROR(INDEX(Production[Input 4],MATCH(IslandModel_1000P[[#This Row],[Building]],Production[Building],0)),"")</f>
        <v>0</v>
      </c>
      <c r="BD104" s="78"/>
      <c r="BE104"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04"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04"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04" s="35">
        <f>IFERROR(INDEX(Production[Input 5],MATCH(IslandModel_1000P[[#This Row],[Building]],Production[Building],0)),"")</f>
        <v>0</v>
      </c>
      <c r="BI104" s="78"/>
      <c r="BJ104"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04"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04"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04" s="35">
        <f>IFERROR(INDEX(Production[Input 6],MATCH(IslandModel_1000P[[#This Row],[Building]],Production[Building],0)),"")</f>
        <v>0</v>
      </c>
      <c r="BN104" s="78"/>
      <c r="BO104"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04"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04"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04" s="35">
        <f>IFERROR(INDEX(Production[Input 7],MATCH(IslandModel_1000P[[#This Row],[Building]],Production[Building],0)),"")</f>
        <v>0</v>
      </c>
      <c r="BS104" s="78"/>
      <c r="BT104"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04"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04"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04" s="35">
        <f>IFERROR(INDEX(Production[Input 8],MATCH(IslandModel_1000P[[#This Row],[Building]],Production[Building],0)),"")</f>
        <v>0</v>
      </c>
      <c r="BX104" s="78"/>
      <c r="BY104"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04"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04"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04" s="35">
        <f>IFERROR(INDEX(Production[Input 9],MATCH(IslandModel_1000P[[#This Row],[Building]],Production[Building],0)),"")</f>
        <v>0</v>
      </c>
      <c r="CC104" s="78"/>
      <c r="CD104"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04"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04"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04" s="35">
        <f>IFERROR(INDEX(Production[Input 10],MATCH(IslandModel_1000P[[#This Row],[Building]],Production[Building],0)),"")</f>
        <v>0</v>
      </c>
      <c r="CH104" s="78"/>
      <c r="CI104"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04"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04"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04"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04" s="82" t="str">
        <f>IslandModel_1000P[[#This Row],[Resource Produced]]</f>
        <v>Honey</v>
      </c>
      <c r="CN104" s="42">
        <f>IslandModel_1000P[[#This Row],[Amount produced/h]]</f>
        <v>195</v>
      </c>
      <c r="CO104" s="42" t="str">
        <f>IslandModel_1000P[[#This Row],[Input 1]]</f>
        <v>Land tile</v>
      </c>
      <c r="CP104" s="42">
        <f>-IslandModel_1000P[[#This Row],[Input 1 Consumed]]</f>
        <v>-13</v>
      </c>
      <c r="CQ104" s="42" t="str">
        <f>IslandModel_1000P[[#This Row],[Input 2]]</f>
        <v>Beehive</v>
      </c>
      <c r="CR104" s="42">
        <f>-IslandModel_1000P[[#This Row],[Input 2 Consumed]]</f>
        <v>-104</v>
      </c>
      <c r="CS104" s="42">
        <f>IslandModel_1000P[[#This Row],[Input 3]]</f>
        <v>0</v>
      </c>
      <c r="CT104" s="42">
        <f>-IslandModel_1000P[[#This Row],[Input 3 Consumed]]</f>
        <v>0</v>
      </c>
      <c r="CU104" s="42">
        <f>IslandModel_1000P[[#This Row],[Input 4]]</f>
        <v>0</v>
      </c>
      <c r="CV104" s="42">
        <f>-IslandModel_1000P[[#This Row],[Input 4 Consumed]]</f>
        <v>0</v>
      </c>
      <c r="CW104" s="42">
        <f>IslandModel_1000P[[#This Row],[Input 5]]</f>
        <v>0</v>
      </c>
      <c r="CX104" s="42">
        <f>-IslandModel_1000P[[#This Row],[Input 5 Consumed]]</f>
        <v>0</v>
      </c>
      <c r="CY104" s="42">
        <f>IslandModel_1000P[[#This Row],[Input 6]]</f>
        <v>0</v>
      </c>
      <c r="CZ104" s="42">
        <f>-IslandModel_1000P[[#This Row],[Input 6 Consumed]]</f>
        <v>0</v>
      </c>
      <c r="DA104" s="42">
        <f>IslandModel_1000P[[#This Row],[Input 7]]</f>
        <v>0</v>
      </c>
      <c r="DB104" s="42">
        <f>-IslandModel_1000P[[#This Row],[Input 7 Consumed]]</f>
        <v>0</v>
      </c>
      <c r="DC104" s="42">
        <f>IslandModel_1000P[[#This Row],[Input 8]]</f>
        <v>0</v>
      </c>
      <c r="DD104" s="42">
        <f>-IslandModel_1000P[[#This Row],[Input 8 Consumed]]</f>
        <v>0</v>
      </c>
      <c r="DE104" s="42">
        <f>IslandModel_1000P[[#This Row],[Input 9]]</f>
        <v>0</v>
      </c>
      <c r="DF104" s="42">
        <f>-IslandModel_1000P[[#This Row],[Input 9 Consumed]]</f>
        <v>0</v>
      </c>
      <c r="DG104" s="42">
        <f>IslandModel_1000P[[#This Row],[Input 10]]</f>
        <v>0</v>
      </c>
      <c r="DH104" s="42">
        <f>-IslandModel_1000P[[#This Row],[Input 10 Consumed]]</f>
        <v>0</v>
      </c>
      <c r="DJ104" s="69" t="s">
        <v>66</v>
      </c>
      <c r="DK104" s="39">
        <f>SUM(SUMIFS(IslandModel_1000P[Resource 1 Qty],IslandModel_1000P[Resource 1],ResourceAvailable_1000P[[#This Row],[Resource]]))</f>
        <v>1500</v>
      </c>
      <c r="DL104"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405</v>
      </c>
      <c r="DM104" s="39">
        <f>ResourceAvailable_1000P[[#This Row],[Amount Produced]]-ResourceAvailable_1000P[[#This Row],[Amount Consumed]]</f>
        <v>1095</v>
      </c>
      <c r="DN104" s="20">
        <f>MAX(0,ResourceAvailable_1000P[[#This Row],[Amount Available for Resident Consumption]]-SUMIFS(ConsumptionModel_1000P[Resource Demand],ConsumptionModel_1000P[Resource],ResourceAvailable_1000P[[#This Row],[Resource]]))</f>
        <v>95</v>
      </c>
    </row>
    <row r="105" spans="29:118" ht="21" x14ac:dyDescent="0.65">
      <c r="AC105" s="103" t="s">
        <v>379</v>
      </c>
      <c r="AD105" s="83">
        <f>ROW()</f>
        <v>105</v>
      </c>
      <c r="AE105" s="74">
        <v>7</v>
      </c>
      <c r="AF105" s="50" t="s">
        <v>432</v>
      </c>
      <c r="AG105" s="18"/>
      <c r="AH105" s="74">
        <v>7</v>
      </c>
      <c r="AI105" s="156">
        <f>IFERROR(IslandModel_1000P[[#This Row],[Quantity]]/IslandModel_1000P[[#This Row],[Target Quantity]],0)</f>
        <v>1</v>
      </c>
      <c r="AJ105" s="61" t="str">
        <f>IFERROR(INDEX(Production[Resource Produced],MATCH(IslandModel_1000P[[#This Row],[Building]],Production[Building],0)),"")</f>
        <v>Liqueur</v>
      </c>
      <c r="AK105" s="99">
        <f>IFERROR(IslandModel_1000P[[#This Row],[Quantity]]*INDEX(Production[Production in 1h],MATCH(IslandModel_1000P[[#This Row],[Building]],Production[Building],0))*IslandModel_1000P[[#This Row],[Input Consumption Multiplier]],0)</f>
        <v>202.5</v>
      </c>
      <c r="AL105" s="115">
        <f>100%</f>
        <v>1</v>
      </c>
      <c r="AM105"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Honey: 202.5/210</v>
      </c>
      <c r="AN105" s="77" t="str">
        <f>IFERROR(INDEX(Production[Input 1],MATCH(IslandModel_1000P[[#This Row],[Building]],Production[Building],0)),"")</f>
        <v>Land tile</v>
      </c>
      <c r="AO105" s="78"/>
      <c r="AP105"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7</v>
      </c>
      <c r="AQ105"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980.60416666666652</v>
      </c>
      <c r="AR105"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6.75</v>
      </c>
      <c r="AS105" s="35" t="str">
        <f>IFERROR(INDEX(Production[Input 2],MATCH(IslandModel_1000P[[#This Row],[Building]],Production[Building],0)),"")</f>
        <v>Schnapps</v>
      </c>
      <c r="AT105" s="78"/>
      <c r="AU105"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420</v>
      </c>
      <c r="AV105"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1500</v>
      </c>
      <c r="AW105"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405</v>
      </c>
      <c r="AX105" s="35" t="str">
        <f>IFERROR(INDEX(Production[Input 3],MATCH(IslandModel_1000P[[#This Row],[Building]],Production[Building],0)),"")</f>
        <v>Honey</v>
      </c>
      <c r="AY105" s="78"/>
      <c r="AZ105"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210</v>
      </c>
      <c r="BA105"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202.5</v>
      </c>
      <c r="BB105"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202.5</v>
      </c>
      <c r="BC105" s="35">
        <f>IFERROR(INDEX(Production[Input 4],MATCH(IslandModel_1000P[[#This Row],[Building]],Production[Building],0)),"")</f>
        <v>0</v>
      </c>
      <c r="BD105" s="78"/>
      <c r="BE105"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05"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05"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05" s="35">
        <f>IFERROR(INDEX(Production[Input 5],MATCH(IslandModel_1000P[[#This Row],[Building]],Production[Building],0)),"")</f>
        <v>0</v>
      </c>
      <c r="BI105" s="78"/>
      <c r="BJ105"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05"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05"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05" s="35">
        <f>IFERROR(INDEX(Production[Input 6],MATCH(IslandModel_1000P[[#This Row],[Building]],Production[Building],0)),"")</f>
        <v>0</v>
      </c>
      <c r="BN105" s="78"/>
      <c r="BO105"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05"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05"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05" s="35">
        <f>IFERROR(INDEX(Production[Input 7],MATCH(IslandModel_1000P[[#This Row],[Building]],Production[Building],0)),"")</f>
        <v>0</v>
      </c>
      <c r="BS105" s="78"/>
      <c r="BT105"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05"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05"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05" s="35">
        <f>IFERROR(INDEX(Production[Input 8],MATCH(IslandModel_1000P[[#This Row],[Building]],Production[Building],0)),"")</f>
        <v>0</v>
      </c>
      <c r="BX105" s="78"/>
      <c r="BY105"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05"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05"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05" s="35">
        <f>IFERROR(INDEX(Production[Input 9],MATCH(IslandModel_1000P[[#This Row],[Building]],Production[Building],0)),"")</f>
        <v>0</v>
      </c>
      <c r="CC105" s="78"/>
      <c r="CD105"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05"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05"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05" s="35">
        <f>IFERROR(INDEX(Production[Input 10],MATCH(IslandModel_1000P[[#This Row],[Building]],Production[Building],0)),"")</f>
        <v>0</v>
      </c>
      <c r="CH105" s="78"/>
      <c r="CI105"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05"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05"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05"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0.9642857142857143</v>
      </c>
      <c r="CM105" s="82" t="str">
        <f>IslandModel_1000P[[#This Row],[Resource Produced]]</f>
        <v>Liqueur</v>
      </c>
      <c r="CN105" s="42">
        <f>IslandModel_1000P[[#This Row],[Amount produced/h]]</f>
        <v>202.5</v>
      </c>
      <c r="CO105" s="42" t="str">
        <f>IslandModel_1000P[[#This Row],[Input 1]]</f>
        <v>Land tile</v>
      </c>
      <c r="CP105" s="42">
        <f>-IslandModel_1000P[[#This Row],[Input 1 Consumed]]</f>
        <v>-6.75</v>
      </c>
      <c r="CQ105" s="42" t="str">
        <f>IslandModel_1000P[[#This Row],[Input 2]]</f>
        <v>Schnapps</v>
      </c>
      <c r="CR105" s="42">
        <f>-IslandModel_1000P[[#This Row],[Input 2 Consumed]]</f>
        <v>-405</v>
      </c>
      <c r="CS105" s="42" t="str">
        <f>IslandModel_1000P[[#This Row],[Input 3]]</f>
        <v>Honey</v>
      </c>
      <c r="CT105" s="42">
        <f>-IslandModel_1000P[[#This Row],[Input 3 Consumed]]</f>
        <v>-202.5</v>
      </c>
      <c r="CU105" s="42">
        <f>IslandModel_1000P[[#This Row],[Input 4]]</f>
        <v>0</v>
      </c>
      <c r="CV105" s="42">
        <f>-IslandModel_1000P[[#This Row],[Input 4 Consumed]]</f>
        <v>0</v>
      </c>
      <c r="CW105" s="42">
        <f>IslandModel_1000P[[#This Row],[Input 5]]</f>
        <v>0</v>
      </c>
      <c r="CX105" s="42">
        <f>-IslandModel_1000P[[#This Row],[Input 5 Consumed]]</f>
        <v>0</v>
      </c>
      <c r="CY105" s="42">
        <f>IslandModel_1000P[[#This Row],[Input 6]]</f>
        <v>0</v>
      </c>
      <c r="CZ105" s="42">
        <f>-IslandModel_1000P[[#This Row],[Input 6 Consumed]]</f>
        <v>0</v>
      </c>
      <c r="DA105" s="42">
        <f>IslandModel_1000P[[#This Row],[Input 7]]</f>
        <v>0</v>
      </c>
      <c r="DB105" s="42">
        <f>-IslandModel_1000P[[#This Row],[Input 7 Consumed]]</f>
        <v>0</v>
      </c>
      <c r="DC105" s="42">
        <f>IslandModel_1000P[[#This Row],[Input 8]]</f>
        <v>0</v>
      </c>
      <c r="DD105" s="42">
        <f>-IslandModel_1000P[[#This Row],[Input 8 Consumed]]</f>
        <v>0</v>
      </c>
      <c r="DE105" s="42">
        <f>IslandModel_1000P[[#This Row],[Input 9]]</f>
        <v>0</v>
      </c>
      <c r="DF105" s="42">
        <f>-IslandModel_1000P[[#This Row],[Input 9 Consumed]]</f>
        <v>0</v>
      </c>
      <c r="DG105" s="42">
        <f>IslandModel_1000P[[#This Row],[Input 10]]</f>
        <v>0</v>
      </c>
      <c r="DH105" s="42">
        <f>-IslandModel_1000P[[#This Row],[Input 10 Consumed]]</f>
        <v>0</v>
      </c>
      <c r="DJ105" s="69" t="s">
        <v>83</v>
      </c>
      <c r="DK105" s="39">
        <f>SUM(SUMIFS(IslandModel_1000P[Resource 1 Qty],IslandModel_1000P[Resource 1],ResourceAvailable_1000P[[#This Row],[Resource]]))</f>
        <v>0</v>
      </c>
      <c r="DL105"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105" s="39">
        <f>ResourceAvailable_1000P[[#This Row],[Amount Produced]]-ResourceAvailable_1000P[[#This Row],[Amount Consumed]]</f>
        <v>0</v>
      </c>
      <c r="DN105" s="20">
        <f>MAX(0,ResourceAvailable_1000P[[#This Row],[Amount Available for Resident Consumption]]-SUMIFS(ConsumptionModel_1000P[Resource Demand],ConsumptionModel_1000P[Resource],ResourceAvailable_1000P[[#This Row],[Resource]]))</f>
        <v>0</v>
      </c>
    </row>
    <row r="106" spans="29:118" ht="21" x14ac:dyDescent="0.65">
      <c r="AC106" s="103" t="s">
        <v>379</v>
      </c>
      <c r="AD106" s="83">
        <f>ROW()</f>
        <v>106</v>
      </c>
      <c r="AE106" s="74">
        <v>5</v>
      </c>
      <c r="AF106" s="50" t="s">
        <v>433</v>
      </c>
      <c r="AG106" s="18"/>
      <c r="AH106" s="74">
        <v>5</v>
      </c>
      <c r="AI106" s="156">
        <f>IFERROR(IslandModel_1000P[[#This Row],[Quantity]]/IslandModel_1000P[[#This Row],[Target Quantity]],0)</f>
        <v>1</v>
      </c>
      <c r="AJ106" s="61" t="str">
        <f>IFERROR(INDEX(Production[Resource Produced],MATCH(IslandModel_1000P[[#This Row],[Building]],Production[Building],0)),"")</f>
        <v>Lobster</v>
      </c>
      <c r="AK106" s="99">
        <f>IFERROR(IslandModel_1000P[[#This Row],[Quantity]]*INDEX(Production[Production in 1h],MATCH(IslandModel_1000P[[#This Row],[Building]],Production[Building],0))*IslandModel_1000P[[#This Row],[Input Consumption Multiplier]],0)</f>
        <v>450</v>
      </c>
      <c r="AL106" s="115">
        <f>100%</f>
        <v>1</v>
      </c>
      <c r="AM106"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06" s="77" t="str">
        <f>IFERROR(INDEX(Production[Input 1],MATCH(IslandModel_1000P[[#This Row],[Building]],Production[Building],0)),"")</f>
        <v>Land tile</v>
      </c>
      <c r="AO106" s="78"/>
      <c r="AP106"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5</v>
      </c>
      <c r="AQ106"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973.85416666666652</v>
      </c>
      <c r="AR106"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5</v>
      </c>
      <c r="AS106" s="35">
        <f>IFERROR(INDEX(Production[Input 2],MATCH(IslandModel_1000P[[#This Row],[Building]],Production[Building],0)),"")</f>
        <v>0</v>
      </c>
      <c r="AT106" s="78"/>
      <c r="AU106"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06"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06"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06" s="35">
        <f>IFERROR(INDEX(Production[Input 3],MATCH(IslandModel_1000P[[#This Row],[Building]],Production[Building],0)),"")</f>
        <v>0</v>
      </c>
      <c r="AY106" s="78"/>
      <c r="AZ106"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06"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06"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06" s="35">
        <f>IFERROR(INDEX(Production[Input 4],MATCH(IslandModel_1000P[[#This Row],[Building]],Production[Building],0)),"")</f>
        <v>0</v>
      </c>
      <c r="BD106" s="78"/>
      <c r="BE106"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06"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06"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06" s="35">
        <f>IFERROR(INDEX(Production[Input 5],MATCH(IslandModel_1000P[[#This Row],[Building]],Production[Building],0)),"")</f>
        <v>0</v>
      </c>
      <c r="BI106" s="78"/>
      <c r="BJ106"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06"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06"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06" s="35">
        <f>IFERROR(INDEX(Production[Input 6],MATCH(IslandModel_1000P[[#This Row],[Building]],Production[Building],0)),"")</f>
        <v>0</v>
      </c>
      <c r="BN106" s="78"/>
      <c r="BO106"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06"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06"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06" s="35">
        <f>IFERROR(INDEX(Production[Input 7],MATCH(IslandModel_1000P[[#This Row],[Building]],Production[Building],0)),"")</f>
        <v>0</v>
      </c>
      <c r="BS106" s="78"/>
      <c r="BT106"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06"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06"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06" s="35">
        <f>IFERROR(INDEX(Production[Input 8],MATCH(IslandModel_1000P[[#This Row],[Building]],Production[Building],0)),"")</f>
        <v>0</v>
      </c>
      <c r="BX106" s="78"/>
      <c r="BY106"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06"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06"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06" s="35">
        <f>IFERROR(INDEX(Production[Input 9],MATCH(IslandModel_1000P[[#This Row],[Building]],Production[Building],0)),"")</f>
        <v>0</v>
      </c>
      <c r="CC106" s="78"/>
      <c r="CD106"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06"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06"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06" s="35">
        <f>IFERROR(INDEX(Production[Input 10],MATCH(IslandModel_1000P[[#This Row],[Building]],Production[Building],0)),"")</f>
        <v>0</v>
      </c>
      <c r="CH106" s="78"/>
      <c r="CI106"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06"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06"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06"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06" s="82" t="str">
        <f>IslandModel_1000P[[#This Row],[Resource Produced]]</f>
        <v>Lobster</v>
      </c>
      <c r="CN106" s="42">
        <f>IslandModel_1000P[[#This Row],[Amount produced/h]]</f>
        <v>450</v>
      </c>
      <c r="CO106" s="42" t="str">
        <f>IslandModel_1000P[[#This Row],[Input 1]]</f>
        <v>Land tile</v>
      </c>
      <c r="CP106" s="42">
        <f>-IslandModel_1000P[[#This Row],[Input 1 Consumed]]</f>
        <v>-5</v>
      </c>
      <c r="CQ106" s="42">
        <f>IslandModel_1000P[[#This Row],[Input 2]]</f>
        <v>0</v>
      </c>
      <c r="CR106" s="42">
        <f>-IslandModel_1000P[[#This Row],[Input 2 Consumed]]</f>
        <v>0</v>
      </c>
      <c r="CS106" s="42">
        <f>IslandModel_1000P[[#This Row],[Input 3]]</f>
        <v>0</v>
      </c>
      <c r="CT106" s="42">
        <f>-IslandModel_1000P[[#This Row],[Input 3 Consumed]]</f>
        <v>0</v>
      </c>
      <c r="CU106" s="42">
        <f>IslandModel_1000P[[#This Row],[Input 4]]</f>
        <v>0</v>
      </c>
      <c r="CV106" s="42">
        <f>-IslandModel_1000P[[#This Row],[Input 4 Consumed]]</f>
        <v>0</v>
      </c>
      <c r="CW106" s="42">
        <f>IslandModel_1000P[[#This Row],[Input 5]]</f>
        <v>0</v>
      </c>
      <c r="CX106" s="42">
        <f>-IslandModel_1000P[[#This Row],[Input 5 Consumed]]</f>
        <v>0</v>
      </c>
      <c r="CY106" s="42">
        <f>IslandModel_1000P[[#This Row],[Input 6]]</f>
        <v>0</v>
      </c>
      <c r="CZ106" s="42">
        <f>-IslandModel_1000P[[#This Row],[Input 6 Consumed]]</f>
        <v>0</v>
      </c>
      <c r="DA106" s="42">
        <f>IslandModel_1000P[[#This Row],[Input 7]]</f>
        <v>0</v>
      </c>
      <c r="DB106" s="42">
        <f>-IslandModel_1000P[[#This Row],[Input 7 Consumed]]</f>
        <v>0</v>
      </c>
      <c r="DC106" s="42">
        <f>IslandModel_1000P[[#This Row],[Input 8]]</f>
        <v>0</v>
      </c>
      <c r="DD106" s="42">
        <f>-IslandModel_1000P[[#This Row],[Input 8 Consumed]]</f>
        <v>0</v>
      </c>
      <c r="DE106" s="42">
        <f>IslandModel_1000P[[#This Row],[Input 9]]</f>
        <v>0</v>
      </c>
      <c r="DF106" s="42">
        <f>-IslandModel_1000P[[#This Row],[Input 9 Consumed]]</f>
        <v>0</v>
      </c>
      <c r="DG106" s="42">
        <f>IslandModel_1000P[[#This Row],[Input 10]]</f>
        <v>0</v>
      </c>
      <c r="DH106" s="42">
        <f>-IslandModel_1000P[[#This Row],[Input 10 Consumed]]</f>
        <v>0</v>
      </c>
      <c r="DJ106" s="69" t="s">
        <v>369</v>
      </c>
      <c r="DK106" s="39">
        <f>SUM(SUMIFS(IslandModel_1000P[Resource 1 Qty],IslandModel_1000P[Resource 1],ResourceAvailable_1000P[[#This Row],[Resource]]))</f>
        <v>491.25</v>
      </c>
      <c r="DL106"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491.25</v>
      </c>
      <c r="DM106" s="39">
        <f>ResourceAvailable_1000P[[#This Row],[Amount Produced]]-ResourceAvailable_1000P[[#This Row],[Amount Consumed]]</f>
        <v>0</v>
      </c>
      <c r="DN106" s="20">
        <f>MAX(0,ResourceAvailable_1000P[[#This Row],[Amount Available for Resident Consumption]]-SUMIFS(ConsumptionModel_1000P[Resource Demand],ConsumptionModel_1000P[Resource],ResourceAvailable_1000P[[#This Row],[Resource]]))</f>
        <v>0</v>
      </c>
    </row>
    <row r="107" spans="29:118" ht="30" x14ac:dyDescent="0.65">
      <c r="AC107" s="103" t="s">
        <v>379</v>
      </c>
      <c r="AD107" s="83">
        <f>ROW()</f>
        <v>107</v>
      </c>
      <c r="AE107" s="74">
        <v>5</v>
      </c>
      <c r="AF107" s="50" t="s">
        <v>435</v>
      </c>
      <c r="AG107" s="18"/>
      <c r="AH107" s="74">
        <v>5</v>
      </c>
      <c r="AI107" s="156">
        <f>IFERROR(IslandModel_1000P[[#This Row],[Quantity]]/IslandModel_1000P[[#This Row],[Target Quantity]],0)</f>
        <v>1</v>
      </c>
      <c r="AJ107" s="61" t="str">
        <f>IFERROR(INDEX(Production[Resource Produced],MATCH(IslandModel_1000P[[#This Row],[Building]],Production[Building],0)),"")</f>
        <v>Feast</v>
      </c>
      <c r="AK107" s="99">
        <f>IFERROR(IslandModel_1000P[[#This Row],[Quantity]]*INDEX(Production[Production in 1h],MATCH(IslandModel_1000P[[#This Row],[Building]],Production[Building],0))*IslandModel_1000P[[#This Row],[Input Consumption Multiplier]],0)</f>
        <v>405</v>
      </c>
      <c r="AL107" s="115">
        <f>100%</f>
        <v>1</v>
      </c>
      <c r="AM107"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Liqueur: 202.5/225</v>
      </c>
      <c r="AN107" s="77" t="str">
        <f>IFERROR(INDEX(Production[Input 1],MATCH(IslandModel_1000P[[#This Row],[Building]],Production[Building],0)),"")</f>
        <v>Land tile</v>
      </c>
      <c r="AO107" s="78"/>
      <c r="AP107"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5</v>
      </c>
      <c r="AQ107"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968.85416666666652</v>
      </c>
      <c r="AR107"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4.5</v>
      </c>
      <c r="AS107" s="35" t="str">
        <f>IFERROR(INDEX(Production[Input 2],MATCH(IslandModel_1000P[[#This Row],[Building]],Production[Building],0)),"")</f>
        <v>Liqueur</v>
      </c>
      <c r="AT107" s="78"/>
      <c r="AU107"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225</v>
      </c>
      <c r="AV107"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202.5</v>
      </c>
      <c r="AW107"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202.5</v>
      </c>
      <c r="AX107" s="35" t="str">
        <f>IFERROR(INDEX(Production[Input 3],MATCH(IslandModel_1000P[[#This Row],[Building]],Production[Building],0)),"")</f>
        <v>Lobster</v>
      </c>
      <c r="AY107" s="78"/>
      <c r="AZ107"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450</v>
      </c>
      <c r="BA107"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450</v>
      </c>
      <c r="BB107"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405</v>
      </c>
      <c r="BC107" s="35">
        <f>IFERROR(INDEX(Production[Input 4],MATCH(IslandModel_1000P[[#This Row],[Building]],Production[Building],0)),"")</f>
        <v>0</v>
      </c>
      <c r="BD107" s="78"/>
      <c r="BE107"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07"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07"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07" s="35">
        <f>IFERROR(INDEX(Production[Input 5],MATCH(IslandModel_1000P[[#This Row],[Building]],Production[Building],0)),"")</f>
        <v>0</v>
      </c>
      <c r="BI107" s="78"/>
      <c r="BJ107"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07"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07"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07" s="35">
        <f>IFERROR(INDEX(Production[Input 6],MATCH(IslandModel_1000P[[#This Row],[Building]],Production[Building],0)),"")</f>
        <v>0</v>
      </c>
      <c r="BN107" s="78"/>
      <c r="BO107"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07"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07"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07" s="35">
        <f>IFERROR(INDEX(Production[Input 7],MATCH(IslandModel_1000P[[#This Row],[Building]],Production[Building],0)),"")</f>
        <v>0</v>
      </c>
      <c r="BS107" s="78"/>
      <c r="BT107"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07"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07"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07" s="35">
        <f>IFERROR(INDEX(Production[Input 8],MATCH(IslandModel_1000P[[#This Row],[Building]],Production[Building],0)),"")</f>
        <v>0</v>
      </c>
      <c r="BX107" s="78"/>
      <c r="BY107"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07"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07"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07" s="35">
        <f>IFERROR(INDEX(Production[Input 9],MATCH(IslandModel_1000P[[#This Row],[Building]],Production[Building],0)),"")</f>
        <v>0</v>
      </c>
      <c r="CC107" s="78"/>
      <c r="CD107"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07"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07"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07" s="35">
        <f>IFERROR(INDEX(Production[Input 10],MATCH(IslandModel_1000P[[#This Row],[Building]],Production[Building],0)),"")</f>
        <v>0</v>
      </c>
      <c r="CH107" s="78"/>
      <c r="CI107"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07"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07"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07"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0.9</v>
      </c>
      <c r="CM107" s="82" t="str">
        <f>IslandModel_1000P[[#This Row],[Resource Produced]]</f>
        <v>Feast</v>
      </c>
      <c r="CN107" s="42">
        <f>IslandModel_1000P[[#This Row],[Amount produced/h]]</f>
        <v>405</v>
      </c>
      <c r="CO107" s="42" t="str">
        <f>IslandModel_1000P[[#This Row],[Input 1]]</f>
        <v>Land tile</v>
      </c>
      <c r="CP107" s="42">
        <f>-IslandModel_1000P[[#This Row],[Input 1 Consumed]]</f>
        <v>-4.5</v>
      </c>
      <c r="CQ107" s="42" t="str">
        <f>IslandModel_1000P[[#This Row],[Input 2]]</f>
        <v>Liqueur</v>
      </c>
      <c r="CR107" s="42">
        <f>-IslandModel_1000P[[#This Row],[Input 2 Consumed]]</f>
        <v>-202.5</v>
      </c>
      <c r="CS107" s="42" t="str">
        <f>IslandModel_1000P[[#This Row],[Input 3]]</f>
        <v>Lobster</v>
      </c>
      <c r="CT107" s="42">
        <f>-IslandModel_1000P[[#This Row],[Input 3 Consumed]]</f>
        <v>-405</v>
      </c>
      <c r="CU107" s="42">
        <f>IslandModel_1000P[[#This Row],[Input 4]]</f>
        <v>0</v>
      </c>
      <c r="CV107" s="42">
        <f>-IslandModel_1000P[[#This Row],[Input 4 Consumed]]</f>
        <v>0</v>
      </c>
      <c r="CW107" s="42">
        <f>IslandModel_1000P[[#This Row],[Input 5]]</f>
        <v>0</v>
      </c>
      <c r="CX107" s="42">
        <f>-IslandModel_1000P[[#This Row],[Input 5 Consumed]]</f>
        <v>0</v>
      </c>
      <c r="CY107" s="42">
        <f>IslandModel_1000P[[#This Row],[Input 6]]</f>
        <v>0</v>
      </c>
      <c r="CZ107" s="42">
        <f>-IslandModel_1000P[[#This Row],[Input 6 Consumed]]</f>
        <v>0</v>
      </c>
      <c r="DA107" s="42">
        <f>IslandModel_1000P[[#This Row],[Input 7]]</f>
        <v>0</v>
      </c>
      <c r="DB107" s="42">
        <f>-IslandModel_1000P[[#This Row],[Input 7 Consumed]]</f>
        <v>0</v>
      </c>
      <c r="DC107" s="42">
        <f>IslandModel_1000P[[#This Row],[Input 8]]</f>
        <v>0</v>
      </c>
      <c r="DD107" s="42">
        <f>-IslandModel_1000P[[#This Row],[Input 8 Consumed]]</f>
        <v>0</v>
      </c>
      <c r="DE107" s="42">
        <f>IslandModel_1000P[[#This Row],[Input 9]]</f>
        <v>0</v>
      </c>
      <c r="DF107" s="42">
        <f>-IslandModel_1000P[[#This Row],[Input 9 Consumed]]</f>
        <v>0</v>
      </c>
      <c r="DG107" s="42">
        <f>IslandModel_1000P[[#This Row],[Input 10]]</f>
        <v>0</v>
      </c>
      <c r="DH107" s="42">
        <f>-IslandModel_1000P[[#This Row],[Input 10 Consumed]]</f>
        <v>0</v>
      </c>
      <c r="DJ107" s="69" t="s">
        <v>370</v>
      </c>
      <c r="DK107" s="39">
        <f>SUM(SUMIFS(IslandModel_1000P[Resource 1 Qty],IslandModel_1000P[Resource 1],ResourceAvailable_1000P[[#This Row],[Resource]]))</f>
        <v>245.625</v>
      </c>
      <c r="DL107"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245.625</v>
      </c>
      <c r="DM107" s="39">
        <f>ResourceAvailable_1000P[[#This Row],[Amount Produced]]-ResourceAvailable_1000P[[#This Row],[Amount Consumed]]</f>
        <v>0</v>
      </c>
      <c r="DN107" s="20">
        <f>MAX(0,ResourceAvailable_1000P[[#This Row],[Amount Available for Resident Consumption]]-SUMIFS(ConsumptionModel_1000P[Resource Demand],ConsumptionModel_1000P[Resource],ResourceAvailable_1000P[[#This Row],[Resource]]))</f>
        <v>0</v>
      </c>
    </row>
    <row r="108" spans="29:118" ht="21" x14ac:dyDescent="0.65">
      <c r="AC108" s="103" t="s">
        <v>382</v>
      </c>
      <c r="AD108" s="83">
        <f>ROW()</f>
        <v>108</v>
      </c>
      <c r="AE108" s="74">
        <v>2</v>
      </c>
      <c r="AF108" s="50" t="s">
        <v>138</v>
      </c>
      <c r="AG108" s="18"/>
      <c r="AH108" s="74">
        <v>2</v>
      </c>
      <c r="AI108" s="156">
        <f>IFERROR(IslandModel_1000P[[#This Row],[Quantity]]/IslandModel_1000P[[#This Row],[Target Quantity]],0)</f>
        <v>1</v>
      </c>
      <c r="AJ108" s="61" t="str">
        <f>IFERROR(INDEX(Production[Resource Produced],MATCH(IslandModel_1000P[[#This Row],[Building]],Production[Building],0)),"")</f>
        <v>Coal</v>
      </c>
      <c r="AK108" s="99">
        <f>IFERROR(IslandModel_1000P[[#This Row],[Quantity]]*INDEX(Production[Production in 1h],MATCH(IslandModel_1000P[[#This Row],[Building]],Production[Building],0))*IslandModel_1000P[[#This Row],[Input Consumption Multiplier]],0)</f>
        <v>60</v>
      </c>
      <c r="AL108" s="115">
        <f>100%</f>
        <v>1</v>
      </c>
      <c r="AM108"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08" s="77" t="str">
        <f>IFERROR(INDEX(Production[Input 1],MATCH(IslandModel_1000P[[#This Row],[Building]],Production[Building],0)),"")</f>
        <v>Mountain tile</v>
      </c>
      <c r="AO108" s="78"/>
      <c r="AP108"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v>
      </c>
      <c r="AQ108"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301</v>
      </c>
      <c r="AR108"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v>
      </c>
      <c r="AS108" s="35">
        <f>IFERROR(INDEX(Production[Input 2],MATCH(IslandModel_1000P[[#This Row],[Building]],Production[Building],0)),"")</f>
        <v>0</v>
      </c>
      <c r="AT108" s="78"/>
      <c r="AU108"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08"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08"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08" s="35">
        <f>IFERROR(INDEX(Production[Input 3],MATCH(IslandModel_1000P[[#This Row],[Building]],Production[Building],0)),"")</f>
        <v>0</v>
      </c>
      <c r="AY108" s="78"/>
      <c r="AZ108"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08"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08"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08" s="35">
        <f>IFERROR(INDEX(Production[Input 4],MATCH(IslandModel_1000P[[#This Row],[Building]],Production[Building],0)),"")</f>
        <v>0</v>
      </c>
      <c r="BD108" s="78"/>
      <c r="BE108"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08"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08"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08" s="35">
        <f>IFERROR(INDEX(Production[Input 5],MATCH(IslandModel_1000P[[#This Row],[Building]],Production[Building],0)),"")</f>
        <v>0</v>
      </c>
      <c r="BI108" s="78"/>
      <c r="BJ108"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08"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08"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08" s="35">
        <f>IFERROR(INDEX(Production[Input 6],MATCH(IslandModel_1000P[[#This Row],[Building]],Production[Building],0)),"")</f>
        <v>0</v>
      </c>
      <c r="BN108" s="78"/>
      <c r="BO108"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08"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08"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08" s="35">
        <f>IFERROR(INDEX(Production[Input 7],MATCH(IslandModel_1000P[[#This Row],[Building]],Production[Building],0)),"")</f>
        <v>0</v>
      </c>
      <c r="BS108" s="78"/>
      <c r="BT108"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08"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08"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08" s="35">
        <f>IFERROR(INDEX(Production[Input 8],MATCH(IslandModel_1000P[[#This Row],[Building]],Production[Building],0)),"")</f>
        <v>0</v>
      </c>
      <c r="BX108" s="78"/>
      <c r="BY108"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08"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08"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08" s="35">
        <f>IFERROR(INDEX(Production[Input 9],MATCH(IslandModel_1000P[[#This Row],[Building]],Production[Building],0)),"")</f>
        <v>0</v>
      </c>
      <c r="CC108" s="78"/>
      <c r="CD108"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08"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08"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08" s="35">
        <f>IFERROR(INDEX(Production[Input 10],MATCH(IslandModel_1000P[[#This Row],[Building]],Production[Building],0)),"")</f>
        <v>0</v>
      </c>
      <c r="CH108" s="78"/>
      <c r="CI108"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08"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08"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08"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08" s="82" t="str">
        <f>IslandModel_1000P[[#This Row],[Resource Produced]]</f>
        <v>Coal</v>
      </c>
      <c r="CN108" s="42">
        <f>IslandModel_1000P[[#This Row],[Amount produced/h]]</f>
        <v>60</v>
      </c>
      <c r="CO108" s="42" t="str">
        <f>IslandModel_1000P[[#This Row],[Input 1]]</f>
        <v>Mountain tile</v>
      </c>
      <c r="CP108" s="42">
        <f>-IslandModel_1000P[[#This Row],[Input 1 Consumed]]</f>
        <v>-2</v>
      </c>
      <c r="CQ108" s="42">
        <f>IslandModel_1000P[[#This Row],[Input 2]]</f>
        <v>0</v>
      </c>
      <c r="CR108" s="42">
        <f>-IslandModel_1000P[[#This Row],[Input 2 Consumed]]</f>
        <v>0</v>
      </c>
      <c r="CS108" s="42">
        <f>IslandModel_1000P[[#This Row],[Input 3]]</f>
        <v>0</v>
      </c>
      <c r="CT108" s="42">
        <f>-IslandModel_1000P[[#This Row],[Input 3 Consumed]]</f>
        <v>0</v>
      </c>
      <c r="CU108" s="42">
        <f>IslandModel_1000P[[#This Row],[Input 4]]</f>
        <v>0</v>
      </c>
      <c r="CV108" s="42">
        <f>-IslandModel_1000P[[#This Row],[Input 4 Consumed]]</f>
        <v>0</v>
      </c>
      <c r="CW108" s="42">
        <f>IslandModel_1000P[[#This Row],[Input 5]]</f>
        <v>0</v>
      </c>
      <c r="CX108" s="42">
        <f>-IslandModel_1000P[[#This Row],[Input 5 Consumed]]</f>
        <v>0</v>
      </c>
      <c r="CY108" s="42">
        <f>IslandModel_1000P[[#This Row],[Input 6]]</f>
        <v>0</v>
      </c>
      <c r="CZ108" s="42">
        <f>-IslandModel_1000P[[#This Row],[Input 6 Consumed]]</f>
        <v>0</v>
      </c>
      <c r="DA108" s="42">
        <f>IslandModel_1000P[[#This Row],[Input 7]]</f>
        <v>0</v>
      </c>
      <c r="DB108" s="42">
        <f>-IslandModel_1000P[[#This Row],[Input 7 Consumed]]</f>
        <v>0</v>
      </c>
      <c r="DC108" s="42">
        <f>IslandModel_1000P[[#This Row],[Input 8]]</f>
        <v>0</v>
      </c>
      <c r="DD108" s="42">
        <f>-IslandModel_1000P[[#This Row],[Input 8 Consumed]]</f>
        <v>0</v>
      </c>
      <c r="DE108" s="42">
        <f>IslandModel_1000P[[#This Row],[Input 9]]</f>
        <v>0</v>
      </c>
      <c r="DF108" s="42">
        <f>-IslandModel_1000P[[#This Row],[Input 9 Consumed]]</f>
        <v>0</v>
      </c>
      <c r="DG108" s="42">
        <f>IslandModel_1000P[[#This Row],[Input 10]]</f>
        <v>0</v>
      </c>
      <c r="DH108" s="42">
        <f>-IslandModel_1000P[[#This Row],[Input 10 Consumed]]</f>
        <v>0</v>
      </c>
      <c r="DJ108" s="69" t="s">
        <v>87</v>
      </c>
      <c r="DK108" s="39">
        <f>SUM(SUMIFS(IslandModel_1000P[Resource 1 Qty],IslandModel_1000P[Resource 1],ResourceAvailable_1000P[[#This Row],[Resource]]))</f>
        <v>15</v>
      </c>
      <c r="DL108"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108" s="39">
        <f>ResourceAvailable_1000P[[#This Row],[Amount Produced]]-ResourceAvailable_1000P[[#This Row],[Amount Consumed]]</f>
        <v>15</v>
      </c>
      <c r="DN108" s="20">
        <f>MAX(0,ResourceAvailable_1000P[[#This Row],[Amount Available for Resident Consumption]]-SUMIFS(ConsumptionModel_1000P[Resource Demand],ConsumptionModel_1000P[Resource],ResourceAvailable_1000P[[#This Row],[Resource]]))</f>
        <v>15</v>
      </c>
    </row>
    <row r="109" spans="29:118" ht="21" x14ac:dyDescent="0.65">
      <c r="AC109" s="103" t="s">
        <v>382</v>
      </c>
      <c r="AD109" s="83">
        <f>ROW()</f>
        <v>109</v>
      </c>
      <c r="AE109" s="74"/>
      <c r="AF109" s="50" t="s">
        <v>50</v>
      </c>
      <c r="AG109" s="18"/>
      <c r="AH109" s="74"/>
      <c r="AI109" s="156">
        <f>IFERROR(IslandModel_1000P[[#This Row],[Quantity]]/IslandModel_1000P[[#This Row],[Target Quantity]],0)</f>
        <v>0</v>
      </c>
      <c r="AJ109" s="61" t="str">
        <f>IFERROR(INDEX(Production[Resource Produced],MATCH(IslandModel_1000P[[#This Row],[Building]],Production[Building],0)),"")</f>
        <v>Wood</v>
      </c>
      <c r="AK109" s="99">
        <f>IFERROR(IslandModel_1000P[[#This Row],[Quantity]]*INDEX(Production[Production in 1h],MATCH(IslandModel_1000P[[#This Row],[Building]],Production[Building],0))*IslandModel_1000P[[#This Row],[Input Consumption Multiplier]],0)</f>
        <v>0</v>
      </c>
      <c r="AL109" s="115">
        <f>100%</f>
        <v>1</v>
      </c>
      <c r="AM109"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09" s="77" t="str">
        <f>IFERROR(INDEX(Production[Input 1],MATCH(IslandModel_1000P[[#This Row],[Building]],Production[Building],0)),"")</f>
        <v>Land tile</v>
      </c>
      <c r="AO109" s="78"/>
      <c r="AP109"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109"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964.35416666666652</v>
      </c>
      <c r="AR109"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109" s="35">
        <f>IFERROR(INDEX(Production[Input 2],MATCH(IslandModel_1000P[[#This Row],[Building]],Production[Building],0)),"")</f>
        <v>0</v>
      </c>
      <c r="AT109" s="78"/>
      <c r="AU109"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09"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09"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09" s="35">
        <f>IFERROR(INDEX(Production[Input 3],MATCH(IslandModel_1000P[[#This Row],[Building]],Production[Building],0)),"")</f>
        <v>0</v>
      </c>
      <c r="AY109" s="78"/>
      <c r="AZ109"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09"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09"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09" s="35">
        <f>IFERROR(INDEX(Production[Input 4],MATCH(IslandModel_1000P[[#This Row],[Building]],Production[Building],0)),"")</f>
        <v>0</v>
      </c>
      <c r="BD109" s="78"/>
      <c r="BE109"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09"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09"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09" s="35">
        <f>IFERROR(INDEX(Production[Input 5],MATCH(IslandModel_1000P[[#This Row],[Building]],Production[Building],0)),"")</f>
        <v>0</v>
      </c>
      <c r="BI109" s="78"/>
      <c r="BJ109"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09"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09"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09" s="35">
        <f>IFERROR(INDEX(Production[Input 6],MATCH(IslandModel_1000P[[#This Row],[Building]],Production[Building],0)),"")</f>
        <v>0</v>
      </c>
      <c r="BN109" s="78"/>
      <c r="BO109"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09"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09"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09" s="35">
        <f>IFERROR(INDEX(Production[Input 7],MATCH(IslandModel_1000P[[#This Row],[Building]],Production[Building],0)),"")</f>
        <v>0</v>
      </c>
      <c r="BS109" s="78"/>
      <c r="BT109"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09"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09"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09" s="35">
        <f>IFERROR(INDEX(Production[Input 8],MATCH(IslandModel_1000P[[#This Row],[Building]],Production[Building],0)),"")</f>
        <v>0</v>
      </c>
      <c r="BX109" s="78"/>
      <c r="BY109"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09"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09"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09" s="35">
        <f>IFERROR(INDEX(Production[Input 9],MATCH(IslandModel_1000P[[#This Row],[Building]],Production[Building],0)),"")</f>
        <v>0</v>
      </c>
      <c r="CC109" s="78"/>
      <c r="CD109"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09"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09"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09" s="35">
        <f>IFERROR(INDEX(Production[Input 10],MATCH(IslandModel_1000P[[#This Row],[Building]],Production[Building],0)),"")</f>
        <v>0</v>
      </c>
      <c r="CH109" s="78"/>
      <c r="CI109"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09"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09"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09"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09" s="82" t="str">
        <f>IslandModel_1000P[[#This Row],[Resource Produced]]</f>
        <v>Wood</v>
      </c>
      <c r="CN109" s="42">
        <f>IslandModel_1000P[[#This Row],[Amount produced/h]]</f>
        <v>0</v>
      </c>
      <c r="CO109" s="42" t="str">
        <f>IslandModel_1000P[[#This Row],[Input 1]]</f>
        <v>Land tile</v>
      </c>
      <c r="CP109" s="42">
        <f>-IslandModel_1000P[[#This Row],[Input 1 Consumed]]</f>
        <v>0</v>
      </c>
      <c r="CQ109" s="42">
        <f>IslandModel_1000P[[#This Row],[Input 2]]</f>
        <v>0</v>
      </c>
      <c r="CR109" s="42">
        <f>-IslandModel_1000P[[#This Row],[Input 2 Consumed]]</f>
        <v>0</v>
      </c>
      <c r="CS109" s="42">
        <f>IslandModel_1000P[[#This Row],[Input 3]]</f>
        <v>0</v>
      </c>
      <c r="CT109" s="42">
        <f>-IslandModel_1000P[[#This Row],[Input 3 Consumed]]</f>
        <v>0</v>
      </c>
      <c r="CU109" s="42">
        <f>IslandModel_1000P[[#This Row],[Input 4]]</f>
        <v>0</v>
      </c>
      <c r="CV109" s="42">
        <f>-IslandModel_1000P[[#This Row],[Input 4 Consumed]]</f>
        <v>0</v>
      </c>
      <c r="CW109" s="42">
        <f>IslandModel_1000P[[#This Row],[Input 5]]</f>
        <v>0</v>
      </c>
      <c r="CX109" s="42">
        <f>-IslandModel_1000P[[#This Row],[Input 5 Consumed]]</f>
        <v>0</v>
      </c>
      <c r="CY109" s="42">
        <f>IslandModel_1000P[[#This Row],[Input 6]]</f>
        <v>0</v>
      </c>
      <c r="CZ109" s="42">
        <f>-IslandModel_1000P[[#This Row],[Input 6 Consumed]]</f>
        <v>0</v>
      </c>
      <c r="DA109" s="42">
        <f>IslandModel_1000P[[#This Row],[Input 7]]</f>
        <v>0</v>
      </c>
      <c r="DB109" s="42">
        <f>-IslandModel_1000P[[#This Row],[Input 7 Consumed]]</f>
        <v>0</v>
      </c>
      <c r="DC109" s="42">
        <f>IslandModel_1000P[[#This Row],[Input 8]]</f>
        <v>0</v>
      </c>
      <c r="DD109" s="42">
        <f>-IslandModel_1000P[[#This Row],[Input 8 Consumed]]</f>
        <v>0</v>
      </c>
      <c r="DE109" s="42">
        <f>IslandModel_1000P[[#This Row],[Input 9]]</f>
        <v>0</v>
      </c>
      <c r="DF109" s="42">
        <f>-IslandModel_1000P[[#This Row],[Input 9 Consumed]]</f>
        <v>0</v>
      </c>
      <c r="DG109" s="42">
        <f>IslandModel_1000P[[#This Row],[Input 10]]</f>
        <v>0</v>
      </c>
      <c r="DH109" s="42">
        <f>-IslandModel_1000P[[#This Row],[Input 10 Consumed]]</f>
        <v>0</v>
      </c>
      <c r="DJ109" s="69" t="s">
        <v>89</v>
      </c>
      <c r="DK109" s="39">
        <f>SUM(SUMIFS(IslandModel_1000P[Resource 1 Qty],IslandModel_1000P[Resource 1],ResourceAvailable_1000P[[#This Row],[Resource]]))</f>
        <v>0</v>
      </c>
      <c r="DL109"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109" s="39">
        <f>ResourceAvailable_1000P[[#This Row],[Amount Produced]]-ResourceAvailable_1000P[[#This Row],[Amount Consumed]]</f>
        <v>0</v>
      </c>
      <c r="DN109" s="20">
        <f>MAX(0,ResourceAvailable_1000P[[#This Row],[Amount Available for Resident Consumption]]-SUMIFS(ConsumptionModel_1000P[Resource Demand],ConsumptionModel_1000P[Resource],ResourceAvailable_1000P[[#This Row],[Resource]]))</f>
        <v>0</v>
      </c>
    </row>
    <row r="110" spans="29:118" ht="21" x14ac:dyDescent="0.65">
      <c r="AC110" s="103" t="s">
        <v>382</v>
      </c>
      <c r="AD110" s="83">
        <f>ROW()</f>
        <v>110</v>
      </c>
      <c r="AE110" s="74"/>
      <c r="AF110" s="50" t="s">
        <v>858</v>
      </c>
      <c r="AG110" s="18"/>
      <c r="AH110" s="74"/>
      <c r="AI110" s="156">
        <f>IFERROR(IslandModel_1000P[[#This Row],[Quantity]]/IslandModel_1000P[[#This Row],[Target Quantity]],0)</f>
        <v>0</v>
      </c>
      <c r="AJ110" s="61" t="str">
        <f>IFERROR(INDEX(Production[Resource Produced],MATCH(IslandModel_1000P[[#This Row],[Building]],Production[Building],0)),"")</f>
        <v>Coal</v>
      </c>
      <c r="AK110" s="99">
        <f>IFERROR(IslandModel_1000P[[#This Row],[Quantity]]*INDEX(Production[Production in 1h],MATCH(IslandModel_1000P[[#This Row],[Building]],Production[Building],0))*IslandModel_1000P[[#This Row],[Input Consumption Multiplier]],0)</f>
        <v>0</v>
      </c>
      <c r="AL110" s="115">
        <f>100%</f>
        <v>1</v>
      </c>
      <c r="AM110"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10" s="77" t="str">
        <f>IFERROR(INDEX(Production[Input 1],MATCH(IslandModel_1000P[[#This Row],[Building]],Production[Building],0)),"")</f>
        <v>Land tile</v>
      </c>
      <c r="AO110" s="78"/>
      <c r="AP110"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110"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964.35416666666652</v>
      </c>
      <c r="AR110"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110" s="35" t="str">
        <f>IFERROR(INDEX(Production[Input 2],MATCH(IslandModel_1000P[[#This Row],[Building]],Production[Building],0)),"")</f>
        <v>Wood</v>
      </c>
      <c r="AT110" s="78"/>
      <c r="AU110"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10"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225</v>
      </c>
      <c r="AW110"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10" s="35">
        <f>IFERROR(INDEX(Production[Input 3],MATCH(IslandModel_1000P[[#This Row],[Building]],Production[Building],0)),"")</f>
        <v>0</v>
      </c>
      <c r="AY110" s="78"/>
      <c r="AZ110"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10"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10"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10" s="35">
        <f>IFERROR(INDEX(Production[Input 4],MATCH(IslandModel_1000P[[#This Row],[Building]],Production[Building],0)),"")</f>
        <v>0</v>
      </c>
      <c r="BD110" s="78"/>
      <c r="BE110"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10"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10"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10" s="35">
        <f>IFERROR(INDEX(Production[Input 5],MATCH(IslandModel_1000P[[#This Row],[Building]],Production[Building],0)),"")</f>
        <v>0</v>
      </c>
      <c r="BI110" s="78"/>
      <c r="BJ110"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10"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10"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10" s="35">
        <f>IFERROR(INDEX(Production[Input 6],MATCH(IslandModel_1000P[[#This Row],[Building]],Production[Building],0)),"")</f>
        <v>0</v>
      </c>
      <c r="BN110" s="78"/>
      <c r="BO110"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10"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10"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10" s="35">
        <f>IFERROR(INDEX(Production[Input 7],MATCH(IslandModel_1000P[[#This Row],[Building]],Production[Building],0)),"")</f>
        <v>0</v>
      </c>
      <c r="BS110" s="78"/>
      <c r="BT110"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10"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10"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10" s="35">
        <f>IFERROR(INDEX(Production[Input 8],MATCH(IslandModel_1000P[[#This Row],[Building]],Production[Building],0)),"")</f>
        <v>0</v>
      </c>
      <c r="BX110" s="78"/>
      <c r="BY110"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10"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10"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10" s="35">
        <f>IFERROR(INDEX(Production[Input 9],MATCH(IslandModel_1000P[[#This Row],[Building]],Production[Building],0)),"")</f>
        <v>0</v>
      </c>
      <c r="CC110" s="78"/>
      <c r="CD110"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10"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10"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10" s="35">
        <f>IFERROR(INDEX(Production[Input 10],MATCH(IslandModel_1000P[[#This Row],[Building]],Production[Building],0)),"")</f>
        <v>0</v>
      </c>
      <c r="CH110" s="78"/>
      <c r="CI110"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10"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10"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10"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10" s="82" t="str">
        <f>IslandModel_1000P[[#This Row],[Resource Produced]]</f>
        <v>Coal</v>
      </c>
      <c r="CN110" s="42">
        <f>IslandModel_1000P[[#This Row],[Amount produced/h]]</f>
        <v>0</v>
      </c>
      <c r="CO110" s="42" t="str">
        <f>IslandModel_1000P[[#This Row],[Input 1]]</f>
        <v>Land tile</v>
      </c>
      <c r="CP110" s="42">
        <f>-IslandModel_1000P[[#This Row],[Input 1 Consumed]]</f>
        <v>0</v>
      </c>
      <c r="CQ110" s="42" t="str">
        <f>IslandModel_1000P[[#This Row],[Input 2]]</f>
        <v>Wood</v>
      </c>
      <c r="CR110" s="42">
        <f>-IslandModel_1000P[[#This Row],[Input 2 Consumed]]</f>
        <v>0</v>
      </c>
      <c r="CS110" s="42">
        <f>IslandModel_1000P[[#This Row],[Input 3]]</f>
        <v>0</v>
      </c>
      <c r="CT110" s="42">
        <f>-IslandModel_1000P[[#This Row],[Input 3 Consumed]]</f>
        <v>0</v>
      </c>
      <c r="CU110" s="42">
        <f>IslandModel_1000P[[#This Row],[Input 4]]</f>
        <v>0</v>
      </c>
      <c r="CV110" s="42">
        <f>-IslandModel_1000P[[#This Row],[Input 4 Consumed]]</f>
        <v>0</v>
      </c>
      <c r="CW110" s="42">
        <f>IslandModel_1000P[[#This Row],[Input 5]]</f>
        <v>0</v>
      </c>
      <c r="CX110" s="42">
        <f>-IslandModel_1000P[[#This Row],[Input 5 Consumed]]</f>
        <v>0</v>
      </c>
      <c r="CY110" s="42">
        <f>IslandModel_1000P[[#This Row],[Input 6]]</f>
        <v>0</v>
      </c>
      <c r="CZ110" s="42">
        <f>-IslandModel_1000P[[#This Row],[Input 6 Consumed]]</f>
        <v>0</v>
      </c>
      <c r="DA110" s="42">
        <f>IslandModel_1000P[[#This Row],[Input 7]]</f>
        <v>0</v>
      </c>
      <c r="DB110" s="42">
        <f>-IslandModel_1000P[[#This Row],[Input 7 Consumed]]</f>
        <v>0</v>
      </c>
      <c r="DC110" s="42">
        <f>IslandModel_1000P[[#This Row],[Input 8]]</f>
        <v>0</v>
      </c>
      <c r="DD110" s="42">
        <f>-IslandModel_1000P[[#This Row],[Input 8 Consumed]]</f>
        <v>0</v>
      </c>
      <c r="DE110" s="42">
        <f>IslandModel_1000P[[#This Row],[Input 9]]</f>
        <v>0</v>
      </c>
      <c r="DF110" s="42">
        <f>-IslandModel_1000P[[#This Row],[Input 9 Consumed]]</f>
        <v>0</v>
      </c>
      <c r="DG110" s="42">
        <f>IslandModel_1000P[[#This Row],[Input 10]]</f>
        <v>0</v>
      </c>
      <c r="DH110" s="42">
        <f>-IslandModel_1000P[[#This Row],[Input 10 Consumed]]</f>
        <v>0</v>
      </c>
      <c r="DJ110" s="69" t="s">
        <v>113</v>
      </c>
      <c r="DK110" s="39">
        <f>SUM(SUMIFS(IslandModel_1000P[Resource 1 Qty],IslandModel_1000P[Resource 1],ResourceAvailable_1000P[[#This Row],[Resource]]))</f>
        <v>480</v>
      </c>
      <c r="DL110"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480</v>
      </c>
      <c r="DM110" s="39">
        <f>ResourceAvailable_1000P[[#This Row],[Amount Produced]]-ResourceAvailable_1000P[[#This Row],[Amount Consumed]]</f>
        <v>0</v>
      </c>
      <c r="DN110" s="20">
        <f>MAX(0,ResourceAvailable_1000P[[#This Row],[Amount Available for Resident Consumption]]-SUMIFS(ConsumptionModel_1000P[Resource Demand],ConsumptionModel_1000P[Resource],ResourceAvailable_1000P[[#This Row],[Resource]]))</f>
        <v>0</v>
      </c>
    </row>
    <row r="111" spans="29:118" ht="21" x14ac:dyDescent="0.65">
      <c r="AC111" s="103" t="s">
        <v>382</v>
      </c>
      <c r="AD111" s="83">
        <f>ROW()</f>
        <v>111</v>
      </c>
      <c r="AE111" s="74">
        <v>4</v>
      </c>
      <c r="AF111" s="50" t="s">
        <v>50</v>
      </c>
      <c r="AG111" s="18"/>
      <c r="AH111" s="74">
        <v>4</v>
      </c>
      <c r="AI111" s="156">
        <f>IFERROR(IslandModel_1000P[[#This Row],[Quantity]]/IslandModel_1000P[[#This Row],[Target Quantity]],0)</f>
        <v>1</v>
      </c>
      <c r="AJ111" s="61" t="str">
        <f>IFERROR(INDEX(Production[Resource Produced],MATCH(IslandModel_1000P[[#This Row],[Building]],Production[Building],0)),"")</f>
        <v>Wood</v>
      </c>
      <c r="AK111" s="99">
        <f>IFERROR(IslandModel_1000P[[#This Row],[Quantity]]*INDEX(Production[Production in 1h],MATCH(IslandModel_1000P[[#This Row],[Building]],Production[Building],0))*IslandModel_1000P[[#This Row],[Input Consumption Multiplier]],0)</f>
        <v>1200</v>
      </c>
      <c r="AL111" s="115">
        <f>100%</f>
        <v>1</v>
      </c>
      <c r="AM111"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11" s="77" t="str">
        <f>IFERROR(INDEX(Production[Input 1],MATCH(IslandModel_1000P[[#This Row],[Building]],Production[Building],0)),"")</f>
        <v>Land tile</v>
      </c>
      <c r="AO111" s="78"/>
      <c r="AP111"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28</v>
      </c>
      <c r="AQ111"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964.35416666666652</v>
      </c>
      <c r="AR111"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28</v>
      </c>
      <c r="AS111" s="35">
        <f>IFERROR(INDEX(Production[Input 2],MATCH(IslandModel_1000P[[#This Row],[Building]],Production[Building],0)),"")</f>
        <v>0</v>
      </c>
      <c r="AT111" s="78"/>
      <c r="AU111"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11"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11"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11" s="35">
        <f>IFERROR(INDEX(Production[Input 3],MATCH(IslandModel_1000P[[#This Row],[Building]],Production[Building],0)),"")</f>
        <v>0</v>
      </c>
      <c r="AY111" s="78"/>
      <c r="AZ111"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11"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11"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11" s="35">
        <f>IFERROR(INDEX(Production[Input 4],MATCH(IslandModel_1000P[[#This Row],[Building]],Production[Building],0)),"")</f>
        <v>0</v>
      </c>
      <c r="BD111" s="78"/>
      <c r="BE111"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11"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11"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11" s="35">
        <f>IFERROR(INDEX(Production[Input 5],MATCH(IslandModel_1000P[[#This Row],[Building]],Production[Building],0)),"")</f>
        <v>0</v>
      </c>
      <c r="BI111" s="78"/>
      <c r="BJ111"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11"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11"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11" s="35">
        <f>IFERROR(INDEX(Production[Input 6],MATCH(IslandModel_1000P[[#This Row],[Building]],Production[Building],0)),"")</f>
        <v>0</v>
      </c>
      <c r="BN111" s="78"/>
      <c r="BO111"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11"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11"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11" s="35">
        <f>IFERROR(INDEX(Production[Input 7],MATCH(IslandModel_1000P[[#This Row],[Building]],Production[Building],0)),"")</f>
        <v>0</v>
      </c>
      <c r="BS111" s="78"/>
      <c r="BT111"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11"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11"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11" s="35">
        <f>IFERROR(INDEX(Production[Input 8],MATCH(IslandModel_1000P[[#This Row],[Building]],Production[Building],0)),"")</f>
        <v>0</v>
      </c>
      <c r="BX111" s="78"/>
      <c r="BY111"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11"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11"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11" s="35">
        <f>IFERROR(INDEX(Production[Input 9],MATCH(IslandModel_1000P[[#This Row],[Building]],Production[Building],0)),"")</f>
        <v>0</v>
      </c>
      <c r="CC111" s="78"/>
      <c r="CD111"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11"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11"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11" s="35">
        <f>IFERROR(INDEX(Production[Input 10],MATCH(IslandModel_1000P[[#This Row],[Building]],Production[Building],0)),"")</f>
        <v>0</v>
      </c>
      <c r="CH111" s="78"/>
      <c r="CI111"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11"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11"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11"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11" s="82" t="str">
        <f>IslandModel_1000P[[#This Row],[Resource Produced]]</f>
        <v>Wood</v>
      </c>
      <c r="CN111" s="42">
        <f>IslandModel_1000P[[#This Row],[Amount produced/h]]</f>
        <v>1200</v>
      </c>
      <c r="CO111" s="42" t="str">
        <f>IslandModel_1000P[[#This Row],[Input 1]]</f>
        <v>Land tile</v>
      </c>
      <c r="CP111" s="42">
        <f>-IslandModel_1000P[[#This Row],[Input 1 Consumed]]</f>
        <v>-28</v>
      </c>
      <c r="CQ111" s="42">
        <f>IslandModel_1000P[[#This Row],[Input 2]]</f>
        <v>0</v>
      </c>
      <c r="CR111" s="42">
        <f>-IslandModel_1000P[[#This Row],[Input 2 Consumed]]</f>
        <v>0</v>
      </c>
      <c r="CS111" s="42">
        <f>IslandModel_1000P[[#This Row],[Input 3]]</f>
        <v>0</v>
      </c>
      <c r="CT111" s="42">
        <f>-IslandModel_1000P[[#This Row],[Input 3 Consumed]]</f>
        <v>0</v>
      </c>
      <c r="CU111" s="42">
        <f>IslandModel_1000P[[#This Row],[Input 4]]</f>
        <v>0</v>
      </c>
      <c r="CV111" s="42">
        <f>-IslandModel_1000P[[#This Row],[Input 4 Consumed]]</f>
        <v>0</v>
      </c>
      <c r="CW111" s="42">
        <f>IslandModel_1000P[[#This Row],[Input 5]]</f>
        <v>0</v>
      </c>
      <c r="CX111" s="42">
        <f>-IslandModel_1000P[[#This Row],[Input 5 Consumed]]</f>
        <v>0</v>
      </c>
      <c r="CY111" s="42">
        <f>IslandModel_1000P[[#This Row],[Input 6]]</f>
        <v>0</v>
      </c>
      <c r="CZ111" s="42">
        <f>-IslandModel_1000P[[#This Row],[Input 6 Consumed]]</f>
        <v>0</v>
      </c>
      <c r="DA111" s="42">
        <f>IslandModel_1000P[[#This Row],[Input 7]]</f>
        <v>0</v>
      </c>
      <c r="DB111" s="42">
        <f>-IslandModel_1000P[[#This Row],[Input 7 Consumed]]</f>
        <v>0</v>
      </c>
      <c r="DC111" s="42">
        <f>IslandModel_1000P[[#This Row],[Input 8]]</f>
        <v>0</v>
      </c>
      <c r="DD111" s="42">
        <f>-IslandModel_1000P[[#This Row],[Input 8 Consumed]]</f>
        <v>0</v>
      </c>
      <c r="DE111" s="42">
        <f>IslandModel_1000P[[#This Row],[Input 9]]</f>
        <v>0</v>
      </c>
      <c r="DF111" s="42">
        <f>-IslandModel_1000P[[#This Row],[Input 9 Consumed]]</f>
        <v>0</v>
      </c>
      <c r="DG111" s="42">
        <f>IslandModel_1000P[[#This Row],[Input 10]]</f>
        <v>0</v>
      </c>
      <c r="DH111" s="42">
        <f>-IslandModel_1000P[[#This Row],[Input 10 Consumed]]</f>
        <v>0</v>
      </c>
      <c r="DJ111" s="69" t="s">
        <v>368</v>
      </c>
      <c r="DK111" s="39">
        <f>SUM(SUMIFS(IslandModel_1000P[Resource 1 Qty],IslandModel_1000P[Resource 1],ResourceAvailable_1000P[[#This Row],[Resource]]))</f>
        <v>0</v>
      </c>
      <c r="DL111"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111" s="39">
        <f>ResourceAvailable_1000P[[#This Row],[Amount Produced]]-ResourceAvailable_1000P[[#This Row],[Amount Consumed]]</f>
        <v>0</v>
      </c>
      <c r="DN111" s="20">
        <f>MAX(0,ResourceAvailable_1000P[[#This Row],[Amount Available for Resident Consumption]]-SUMIFS(ConsumptionModel_1000P[Resource Demand],ConsumptionModel_1000P[Resource],ResourceAvailable_1000P[[#This Row],[Resource]]))</f>
        <v>0</v>
      </c>
    </row>
    <row r="112" spans="29:118" ht="21" x14ac:dyDescent="0.65">
      <c r="AC112" s="103" t="s">
        <v>382</v>
      </c>
      <c r="AD112" s="83">
        <f>ROW()</f>
        <v>112</v>
      </c>
      <c r="AE112" s="74">
        <v>4</v>
      </c>
      <c r="AF112" s="50" t="s">
        <v>64</v>
      </c>
      <c r="AG112" s="18"/>
      <c r="AH112" s="74">
        <v>4</v>
      </c>
      <c r="AI112" s="156">
        <f>IFERROR(IslandModel_1000P[[#This Row],[Quantity]]/IslandModel_1000P[[#This Row],[Target Quantity]],0)</f>
        <v>1</v>
      </c>
      <c r="AJ112" s="61" t="str">
        <f>IFERROR(INDEX(Production[Resource Produced],MATCH(IslandModel_1000P[[#This Row],[Building]],Production[Building],0)),"")</f>
        <v>Plank</v>
      </c>
      <c r="AK112" s="99">
        <f>IFERROR(IslandModel_1000P[[#This Row],[Quantity]]*INDEX(Production[Production in 1h],MATCH(IslandModel_1000P[[#This Row],[Building]],Production[Building],0))*IslandModel_1000P[[#This Row],[Input Consumption Multiplier]],0)</f>
        <v>1200</v>
      </c>
      <c r="AL112" s="115">
        <f>100%</f>
        <v>1</v>
      </c>
      <c r="AM112"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12" s="77" t="str">
        <f>IFERROR(INDEX(Production[Input 1],MATCH(IslandModel_1000P[[#This Row],[Building]],Production[Building],0)),"")</f>
        <v>Land tile</v>
      </c>
      <c r="AO112" s="78"/>
      <c r="AP112"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4</v>
      </c>
      <c r="AQ112"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936.35416666666652</v>
      </c>
      <c r="AR112"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4</v>
      </c>
      <c r="AS112" s="35" t="str">
        <f>IFERROR(INDEX(Production[Input 2],MATCH(IslandModel_1000P[[#This Row],[Building]],Production[Building],0)),"")</f>
        <v>Wood</v>
      </c>
      <c r="AT112" s="78"/>
      <c r="AU112"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1200</v>
      </c>
      <c r="AV112"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1425</v>
      </c>
      <c r="AW112"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1200</v>
      </c>
      <c r="AX112" s="35">
        <f>IFERROR(INDEX(Production[Input 3],MATCH(IslandModel_1000P[[#This Row],[Building]],Production[Building],0)),"")</f>
        <v>0</v>
      </c>
      <c r="AY112" s="78"/>
      <c r="AZ112"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12"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12"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12" s="35">
        <f>IFERROR(INDEX(Production[Input 4],MATCH(IslandModel_1000P[[#This Row],[Building]],Production[Building],0)),"")</f>
        <v>0</v>
      </c>
      <c r="BD112" s="78"/>
      <c r="BE112"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12"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12"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12" s="35">
        <f>IFERROR(INDEX(Production[Input 5],MATCH(IslandModel_1000P[[#This Row],[Building]],Production[Building],0)),"")</f>
        <v>0</v>
      </c>
      <c r="BI112" s="78"/>
      <c r="BJ112"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12"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12"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12" s="35">
        <f>IFERROR(INDEX(Production[Input 6],MATCH(IslandModel_1000P[[#This Row],[Building]],Production[Building],0)),"")</f>
        <v>0</v>
      </c>
      <c r="BN112" s="78"/>
      <c r="BO112"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12"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12"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12" s="35">
        <f>IFERROR(INDEX(Production[Input 7],MATCH(IslandModel_1000P[[#This Row],[Building]],Production[Building],0)),"")</f>
        <v>0</v>
      </c>
      <c r="BS112" s="78"/>
      <c r="BT112"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12"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12"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12" s="35">
        <f>IFERROR(INDEX(Production[Input 8],MATCH(IslandModel_1000P[[#This Row],[Building]],Production[Building],0)),"")</f>
        <v>0</v>
      </c>
      <c r="BX112" s="78"/>
      <c r="BY112"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12"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12"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12" s="35">
        <f>IFERROR(INDEX(Production[Input 9],MATCH(IslandModel_1000P[[#This Row],[Building]],Production[Building],0)),"")</f>
        <v>0</v>
      </c>
      <c r="CC112" s="78"/>
      <c r="CD112"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12"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12"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12" s="35">
        <f>IFERROR(INDEX(Production[Input 10],MATCH(IslandModel_1000P[[#This Row],[Building]],Production[Building],0)),"")</f>
        <v>0</v>
      </c>
      <c r="CH112" s="78"/>
      <c r="CI112"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12"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12"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12"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12" s="82" t="str">
        <f>IslandModel_1000P[[#This Row],[Resource Produced]]</f>
        <v>Plank</v>
      </c>
      <c r="CN112" s="42">
        <f>IslandModel_1000P[[#This Row],[Amount produced/h]]</f>
        <v>1200</v>
      </c>
      <c r="CO112" s="42" t="str">
        <f>IslandModel_1000P[[#This Row],[Input 1]]</f>
        <v>Land tile</v>
      </c>
      <c r="CP112" s="42">
        <f>-IslandModel_1000P[[#This Row],[Input 1 Consumed]]</f>
        <v>-4</v>
      </c>
      <c r="CQ112" s="42" t="str">
        <f>IslandModel_1000P[[#This Row],[Input 2]]</f>
        <v>Wood</v>
      </c>
      <c r="CR112" s="42">
        <f>-IslandModel_1000P[[#This Row],[Input 2 Consumed]]</f>
        <v>-1200</v>
      </c>
      <c r="CS112" s="42">
        <f>IslandModel_1000P[[#This Row],[Input 3]]</f>
        <v>0</v>
      </c>
      <c r="CT112" s="42">
        <f>-IslandModel_1000P[[#This Row],[Input 3 Consumed]]</f>
        <v>0</v>
      </c>
      <c r="CU112" s="42">
        <f>IslandModel_1000P[[#This Row],[Input 4]]</f>
        <v>0</v>
      </c>
      <c r="CV112" s="42">
        <f>-IslandModel_1000P[[#This Row],[Input 4 Consumed]]</f>
        <v>0</v>
      </c>
      <c r="CW112" s="42">
        <f>IslandModel_1000P[[#This Row],[Input 5]]</f>
        <v>0</v>
      </c>
      <c r="CX112" s="42">
        <f>-IslandModel_1000P[[#This Row],[Input 5 Consumed]]</f>
        <v>0</v>
      </c>
      <c r="CY112" s="42">
        <f>IslandModel_1000P[[#This Row],[Input 6]]</f>
        <v>0</v>
      </c>
      <c r="CZ112" s="42">
        <f>-IslandModel_1000P[[#This Row],[Input 6 Consumed]]</f>
        <v>0</v>
      </c>
      <c r="DA112" s="42">
        <f>IslandModel_1000P[[#This Row],[Input 7]]</f>
        <v>0</v>
      </c>
      <c r="DB112" s="42">
        <f>-IslandModel_1000P[[#This Row],[Input 7 Consumed]]</f>
        <v>0</v>
      </c>
      <c r="DC112" s="42">
        <f>IslandModel_1000P[[#This Row],[Input 8]]</f>
        <v>0</v>
      </c>
      <c r="DD112" s="42">
        <f>-IslandModel_1000P[[#This Row],[Input 8 Consumed]]</f>
        <v>0</v>
      </c>
      <c r="DE112" s="42">
        <f>IslandModel_1000P[[#This Row],[Input 9]]</f>
        <v>0</v>
      </c>
      <c r="DF112" s="42">
        <f>-IslandModel_1000P[[#This Row],[Input 9 Consumed]]</f>
        <v>0</v>
      </c>
      <c r="DG112" s="42">
        <f>IslandModel_1000P[[#This Row],[Input 10]]</f>
        <v>0</v>
      </c>
      <c r="DH112" s="42">
        <f>-IslandModel_1000P[[#This Row],[Input 10 Consumed]]</f>
        <v>0</v>
      </c>
      <c r="DJ112" s="69" t="s">
        <v>464</v>
      </c>
      <c r="DK112" s="39">
        <f>SUM(SUMIFS(IslandModel_1000P[Resource 1 Qty],IslandModel_1000P[Resource 1],ResourceAvailable_1000P[[#This Row],[Resource]]))</f>
        <v>1</v>
      </c>
      <c r="DL112"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112" s="39">
        <f>ResourceAvailable_1000P[[#This Row],[Amount Produced]]-ResourceAvailable_1000P[[#This Row],[Amount Consumed]]</f>
        <v>1</v>
      </c>
      <c r="DN112" s="20">
        <f>MAX(0,ResourceAvailable_1000P[[#This Row],[Amount Available for Resident Consumption]]-SUMIFS(ConsumptionModel_1000P[Resource Demand],ConsumptionModel_1000P[Resource],ResourceAvailable_1000P[[#This Row],[Resource]]))</f>
        <v>1</v>
      </c>
    </row>
    <row r="113" spans="29:118" ht="21" x14ac:dyDescent="0.65">
      <c r="AC113" s="103" t="s">
        <v>382</v>
      </c>
      <c r="AD113" s="83">
        <f>ROW()</f>
        <v>113</v>
      </c>
      <c r="AE113" s="74">
        <v>5</v>
      </c>
      <c r="AF113" s="50" t="s">
        <v>153</v>
      </c>
      <c r="AG113" s="18"/>
      <c r="AH113" s="74">
        <v>5</v>
      </c>
      <c r="AI113" s="156">
        <f>IFERROR(IslandModel_1000P[[#This Row],[Quantity]]/IslandModel_1000P[[#This Row],[Target Quantity]],0)</f>
        <v>1</v>
      </c>
      <c r="AJ113" s="61" t="str">
        <f>IFERROR(INDEX(Production[Resource Produced],MATCH(IslandModel_1000P[[#This Row],[Building]],Production[Building],0)),"")</f>
        <v>Iron Ore</v>
      </c>
      <c r="AK113" s="99">
        <f>IFERROR(IslandModel_1000P[[#This Row],[Quantity]]*INDEX(Production[Production in 1h],MATCH(IslandModel_1000P[[#This Row],[Building]],Production[Building],0))*IslandModel_1000P[[#This Row],[Input Consumption Multiplier]],0)</f>
        <v>75</v>
      </c>
      <c r="AL113" s="115">
        <f>100%</f>
        <v>1</v>
      </c>
      <c r="AM113"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13" s="77" t="str">
        <f>IFERROR(INDEX(Production[Input 1],MATCH(IslandModel_1000P[[#This Row],[Building]],Production[Building],0)),"")</f>
        <v>Mountain tile</v>
      </c>
      <c r="AO113" s="78"/>
      <c r="AP113"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5</v>
      </c>
      <c r="AQ113"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299</v>
      </c>
      <c r="AR113"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5</v>
      </c>
      <c r="AS113" s="35">
        <f>IFERROR(INDEX(Production[Input 2],MATCH(IslandModel_1000P[[#This Row],[Building]],Production[Building],0)),"")</f>
        <v>0</v>
      </c>
      <c r="AT113" s="78"/>
      <c r="AU113"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13"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13"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13" s="35">
        <f>IFERROR(INDEX(Production[Input 3],MATCH(IslandModel_1000P[[#This Row],[Building]],Production[Building],0)),"")</f>
        <v>0</v>
      </c>
      <c r="AY113" s="78"/>
      <c r="AZ113"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13"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13"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13" s="35">
        <f>IFERROR(INDEX(Production[Input 4],MATCH(IslandModel_1000P[[#This Row],[Building]],Production[Building],0)),"")</f>
        <v>0</v>
      </c>
      <c r="BD113" s="78"/>
      <c r="BE113"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13"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13"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13" s="35">
        <f>IFERROR(INDEX(Production[Input 5],MATCH(IslandModel_1000P[[#This Row],[Building]],Production[Building],0)),"")</f>
        <v>0</v>
      </c>
      <c r="BI113" s="78"/>
      <c r="BJ113"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13"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13"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13" s="35">
        <f>IFERROR(INDEX(Production[Input 6],MATCH(IslandModel_1000P[[#This Row],[Building]],Production[Building],0)),"")</f>
        <v>0</v>
      </c>
      <c r="BN113" s="78"/>
      <c r="BO113"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13"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13"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13" s="35">
        <f>IFERROR(INDEX(Production[Input 7],MATCH(IslandModel_1000P[[#This Row],[Building]],Production[Building],0)),"")</f>
        <v>0</v>
      </c>
      <c r="BS113" s="78"/>
      <c r="BT113"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13"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13"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13" s="35">
        <f>IFERROR(INDEX(Production[Input 8],MATCH(IslandModel_1000P[[#This Row],[Building]],Production[Building],0)),"")</f>
        <v>0</v>
      </c>
      <c r="BX113" s="78"/>
      <c r="BY113"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13"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13"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13" s="35">
        <f>IFERROR(INDEX(Production[Input 9],MATCH(IslandModel_1000P[[#This Row],[Building]],Production[Building],0)),"")</f>
        <v>0</v>
      </c>
      <c r="CC113" s="78"/>
      <c r="CD113"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13"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13"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13" s="35">
        <f>IFERROR(INDEX(Production[Input 10],MATCH(IslandModel_1000P[[#This Row],[Building]],Production[Building],0)),"")</f>
        <v>0</v>
      </c>
      <c r="CH113" s="78"/>
      <c r="CI113"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13"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13"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13"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13" s="82" t="str">
        <f>IslandModel_1000P[[#This Row],[Resource Produced]]</f>
        <v>Iron Ore</v>
      </c>
      <c r="CN113" s="42">
        <f>IslandModel_1000P[[#This Row],[Amount produced/h]]</f>
        <v>75</v>
      </c>
      <c r="CO113" s="42" t="str">
        <f>IslandModel_1000P[[#This Row],[Input 1]]</f>
        <v>Mountain tile</v>
      </c>
      <c r="CP113" s="42">
        <f>-IslandModel_1000P[[#This Row],[Input 1 Consumed]]</f>
        <v>-5</v>
      </c>
      <c r="CQ113" s="42">
        <f>IslandModel_1000P[[#This Row],[Input 2]]</f>
        <v>0</v>
      </c>
      <c r="CR113" s="42">
        <f>-IslandModel_1000P[[#This Row],[Input 2 Consumed]]</f>
        <v>0</v>
      </c>
      <c r="CS113" s="42">
        <f>IslandModel_1000P[[#This Row],[Input 3]]</f>
        <v>0</v>
      </c>
      <c r="CT113" s="42">
        <f>-IslandModel_1000P[[#This Row],[Input 3 Consumed]]</f>
        <v>0</v>
      </c>
      <c r="CU113" s="42">
        <f>IslandModel_1000P[[#This Row],[Input 4]]</f>
        <v>0</v>
      </c>
      <c r="CV113" s="42">
        <f>-IslandModel_1000P[[#This Row],[Input 4 Consumed]]</f>
        <v>0</v>
      </c>
      <c r="CW113" s="42">
        <f>IslandModel_1000P[[#This Row],[Input 5]]</f>
        <v>0</v>
      </c>
      <c r="CX113" s="42">
        <f>-IslandModel_1000P[[#This Row],[Input 5 Consumed]]</f>
        <v>0</v>
      </c>
      <c r="CY113" s="42">
        <f>IslandModel_1000P[[#This Row],[Input 6]]</f>
        <v>0</v>
      </c>
      <c r="CZ113" s="42">
        <f>-IslandModel_1000P[[#This Row],[Input 6 Consumed]]</f>
        <v>0</v>
      </c>
      <c r="DA113" s="42">
        <f>IslandModel_1000P[[#This Row],[Input 7]]</f>
        <v>0</v>
      </c>
      <c r="DB113" s="42">
        <f>-IslandModel_1000P[[#This Row],[Input 7 Consumed]]</f>
        <v>0</v>
      </c>
      <c r="DC113" s="42">
        <f>IslandModel_1000P[[#This Row],[Input 8]]</f>
        <v>0</v>
      </c>
      <c r="DD113" s="42">
        <f>-IslandModel_1000P[[#This Row],[Input 8 Consumed]]</f>
        <v>0</v>
      </c>
      <c r="DE113" s="42">
        <f>IslandModel_1000P[[#This Row],[Input 9]]</f>
        <v>0</v>
      </c>
      <c r="DF113" s="42">
        <f>-IslandModel_1000P[[#This Row],[Input 9 Consumed]]</f>
        <v>0</v>
      </c>
      <c r="DG113" s="42">
        <f>IslandModel_1000P[[#This Row],[Input 10]]</f>
        <v>0</v>
      </c>
      <c r="DH113" s="42">
        <f>-IslandModel_1000P[[#This Row],[Input 10 Consumed]]</f>
        <v>0</v>
      </c>
      <c r="DJ113" s="69" t="s">
        <v>330</v>
      </c>
      <c r="DK113" s="39">
        <f>SUM(SUMIFS(IslandModel_1000P[Resource 1 Qty],IslandModel_1000P[Resource 1],ResourceAvailable_1000P[[#This Row],[Resource]]))</f>
        <v>4</v>
      </c>
      <c r="DL113"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113" s="39">
        <f>ResourceAvailable_1000P[[#This Row],[Amount Produced]]-ResourceAvailable_1000P[[#This Row],[Amount Consumed]]</f>
        <v>4</v>
      </c>
      <c r="DN113" s="20">
        <f>MAX(0,ResourceAvailable_1000P[[#This Row],[Amount Available for Resident Consumption]]-SUMIFS(ConsumptionModel_1000P[Resource Demand],ConsumptionModel_1000P[Resource],ResourceAvailable_1000P[[#This Row],[Resource]]))</f>
        <v>4</v>
      </c>
    </row>
    <row r="114" spans="29:118" ht="21" x14ac:dyDescent="0.65">
      <c r="AC114" s="103" t="s">
        <v>382</v>
      </c>
      <c r="AD114" s="83">
        <f>ROW()</f>
        <v>114</v>
      </c>
      <c r="AE114" s="74">
        <v>9</v>
      </c>
      <c r="AF114" s="50" t="s">
        <v>155</v>
      </c>
      <c r="AG114" s="18"/>
      <c r="AH114" s="74">
        <v>9</v>
      </c>
      <c r="AI114" s="156">
        <f>IFERROR(IslandModel_1000P[[#This Row],[Quantity]]/IslandModel_1000P[[#This Row],[Target Quantity]],0)</f>
        <v>1</v>
      </c>
      <c r="AJ114" s="61" t="str">
        <f>IFERROR(INDEX(Production[Resource Produced],MATCH(IslandModel_1000P[[#This Row],[Building]],Production[Building],0)),"")</f>
        <v>Iron Ingot</v>
      </c>
      <c r="AK114" s="99">
        <f>IFERROR(IslandModel_1000P[[#This Row],[Quantity]]*INDEX(Production[Production in 1h],MATCH(IslandModel_1000P[[#This Row],[Building]],Production[Building],0))*IslandModel_1000P[[#This Row],[Input Consumption Multiplier]],0)</f>
        <v>67.5</v>
      </c>
      <c r="AL114" s="115">
        <f>100%</f>
        <v>1</v>
      </c>
      <c r="AM114"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14" s="77" t="str">
        <f>IFERROR(INDEX(Production[Input 1],MATCH(IslandModel_1000P[[#This Row],[Building]],Production[Building],0)),"")</f>
        <v>Land tile</v>
      </c>
      <c r="AO114" s="78"/>
      <c r="AP114"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9</v>
      </c>
      <c r="AQ114"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932.35416666666652</v>
      </c>
      <c r="AR114"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9</v>
      </c>
      <c r="AS114" s="35" t="str">
        <f>IFERROR(INDEX(Production[Input 2],MATCH(IslandModel_1000P[[#This Row],[Building]],Production[Building],0)),"")</f>
        <v>Coal</v>
      </c>
      <c r="AT114" s="78"/>
      <c r="AU114"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33.75</v>
      </c>
      <c r="AV114"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86.25</v>
      </c>
      <c r="AW114"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33.75</v>
      </c>
      <c r="AX114" s="35" t="str">
        <f>IFERROR(INDEX(Production[Input 3],MATCH(IslandModel_1000P[[#This Row],[Building]],Production[Building],0)),"")</f>
        <v>Iron Ore</v>
      </c>
      <c r="AY114" s="78"/>
      <c r="AZ114"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67.5</v>
      </c>
      <c r="BA114"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75</v>
      </c>
      <c r="BB114"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67.5</v>
      </c>
      <c r="BC114" s="35">
        <f>IFERROR(INDEX(Production[Input 4],MATCH(IslandModel_1000P[[#This Row],[Building]],Production[Building],0)),"")</f>
        <v>0</v>
      </c>
      <c r="BD114" s="78"/>
      <c r="BE114"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14"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14"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14" s="35">
        <f>IFERROR(INDEX(Production[Input 5],MATCH(IslandModel_1000P[[#This Row],[Building]],Production[Building],0)),"")</f>
        <v>0</v>
      </c>
      <c r="BI114" s="78"/>
      <c r="BJ114"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14"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14"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14" s="35">
        <f>IFERROR(INDEX(Production[Input 6],MATCH(IslandModel_1000P[[#This Row],[Building]],Production[Building],0)),"")</f>
        <v>0</v>
      </c>
      <c r="BN114" s="78"/>
      <c r="BO114"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14"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14"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14" s="35">
        <f>IFERROR(INDEX(Production[Input 7],MATCH(IslandModel_1000P[[#This Row],[Building]],Production[Building],0)),"")</f>
        <v>0</v>
      </c>
      <c r="BS114" s="78"/>
      <c r="BT114"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14"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14"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14" s="35">
        <f>IFERROR(INDEX(Production[Input 8],MATCH(IslandModel_1000P[[#This Row],[Building]],Production[Building],0)),"")</f>
        <v>0</v>
      </c>
      <c r="BX114" s="78"/>
      <c r="BY114"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14"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14"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14" s="35">
        <f>IFERROR(INDEX(Production[Input 9],MATCH(IslandModel_1000P[[#This Row],[Building]],Production[Building],0)),"")</f>
        <v>0</v>
      </c>
      <c r="CC114" s="78"/>
      <c r="CD114"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14"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14"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14" s="35">
        <f>IFERROR(INDEX(Production[Input 10],MATCH(IslandModel_1000P[[#This Row],[Building]],Production[Building],0)),"")</f>
        <v>0</v>
      </c>
      <c r="CH114" s="78"/>
      <c r="CI114"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14"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14"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14"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14" s="82" t="str">
        <f>IslandModel_1000P[[#This Row],[Resource Produced]]</f>
        <v>Iron Ingot</v>
      </c>
      <c r="CN114" s="42">
        <f>IslandModel_1000P[[#This Row],[Amount produced/h]]</f>
        <v>67.5</v>
      </c>
      <c r="CO114" s="42" t="str">
        <f>IslandModel_1000P[[#This Row],[Input 1]]</f>
        <v>Land tile</v>
      </c>
      <c r="CP114" s="42">
        <f>-IslandModel_1000P[[#This Row],[Input 1 Consumed]]</f>
        <v>-9</v>
      </c>
      <c r="CQ114" s="42" t="str">
        <f>IslandModel_1000P[[#This Row],[Input 2]]</f>
        <v>Coal</v>
      </c>
      <c r="CR114" s="42">
        <f>-IslandModel_1000P[[#This Row],[Input 2 Consumed]]</f>
        <v>-33.75</v>
      </c>
      <c r="CS114" s="42" t="str">
        <f>IslandModel_1000P[[#This Row],[Input 3]]</f>
        <v>Iron Ore</v>
      </c>
      <c r="CT114" s="42">
        <f>-IslandModel_1000P[[#This Row],[Input 3 Consumed]]</f>
        <v>-67.5</v>
      </c>
      <c r="CU114" s="42">
        <f>IslandModel_1000P[[#This Row],[Input 4]]</f>
        <v>0</v>
      </c>
      <c r="CV114" s="42">
        <f>-IslandModel_1000P[[#This Row],[Input 4 Consumed]]</f>
        <v>0</v>
      </c>
      <c r="CW114" s="42">
        <f>IslandModel_1000P[[#This Row],[Input 5]]</f>
        <v>0</v>
      </c>
      <c r="CX114" s="42">
        <f>-IslandModel_1000P[[#This Row],[Input 5 Consumed]]</f>
        <v>0</v>
      </c>
      <c r="CY114" s="42">
        <f>IslandModel_1000P[[#This Row],[Input 6]]</f>
        <v>0</v>
      </c>
      <c r="CZ114" s="42">
        <f>-IslandModel_1000P[[#This Row],[Input 6 Consumed]]</f>
        <v>0</v>
      </c>
      <c r="DA114" s="42">
        <f>IslandModel_1000P[[#This Row],[Input 7]]</f>
        <v>0</v>
      </c>
      <c r="DB114" s="42">
        <f>-IslandModel_1000P[[#This Row],[Input 7 Consumed]]</f>
        <v>0</v>
      </c>
      <c r="DC114" s="42">
        <f>IslandModel_1000P[[#This Row],[Input 8]]</f>
        <v>0</v>
      </c>
      <c r="DD114" s="42">
        <f>-IslandModel_1000P[[#This Row],[Input 8 Consumed]]</f>
        <v>0</v>
      </c>
      <c r="DE114" s="42">
        <f>IslandModel_1000P[[#This Row],[Input 9]]</f>
        <v>0</v>
      </c>
      <c r="DF114" s="42">
        <f>-IslandModel_1000P[[#This Row],[Input 9 Consumed]]</f>
        <v>0</v>
      </c>
      <c r="DG114" s="42">
        <f>IslandModel_1000P[[#This Row],[Input 10]]</f>
        <v>0</v>
      </c>
      <c r="DH114" s="42">
        <f>-IslandModel_1000P[[#This Row],[Input 10 Consumed]]</f>
        <v>0</v>
      </c>
      <c r="DJ114" s="69" t="s">
        <v>52</v>
      </c>
      <c r="DK114" s="39">
        <f>SUM(SUMIFS(IslandModel_1000P[Resource 1 Qty],IslandModel_1000P[Resource 1],ResourceAvailable_1000P[[#This Row],[Resource]]))</f>
        <v>354</v>
      </c>
      <c r="DL114"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140</v>
      </c>
      <c r="DM114" s="39">
        <f>ResourceAvailable_1000P[[#This Row],[Amount Produced]]-ResourceAvailable_1000P[[#This Row],[Amount Consumed]]</f>
        <v>214</v>
      </c>
      <c r="DN114" s="20">
        <f>MAX(0,ResourceAvailable_1000P[[#This Row],[Amount Available for Resident Consumption]]-SUMIFS(ConsumptionModel_1000P[Resource Demand],ConsumptionModel_1000P[Resource],ResourceAvailable_1000P[[#This Row],[Resource]]))</f>
        <v>214</v>
      </c>
    </row>
    <row r="115" spans="29:118" ht="30" x14ac:dyDescent="0.65">
      <c r="AC115" s="103" t="s">
        <v>382</v>
      </c>
      <c r="AD115" s="83">
        <f>ROW()</f>
        <v>115</v>
      </c>
      <c r="AE115" s="74">
        <v>5</v>
      </c>
      <c r="AF115" s="50" t="s">
        <v>438</v>
      </c>
      <c r="AG115" s="18"/>
      <c r="AH115" s="74">
        <v>5</v>
      </c>
      <c r="AI115" s="157">
        <f>IFERROR(IslandModel_1000P[[#This Row],[Quantity]]/IslandModel_1000P[[#This Row],[Target Quantity]],0)</f>
        <v>1</v>
      </c>
      <c r="AJ115" s="61" t="str">
        <f>IFERROR(INDEX(Production[Resource Produced],MATCH(IslandModel_1000P[[#This Row],[Building]],Production[Building],0)),"")</f>
        <v>Barrel</v>
      </c>
      <c r="AK115" s="99">
        <f>IFERROR(IslandModel_1000P[[#This Row],[Quantity]]*INDEX(Production[Production in 1h],MATCH(IslandModel_1000P[[#This Row],[Building]],Production[Building],0))*IslandModel_1000P[[#This Row],[Input Consumption Multiplier]],0)</f>
        <v>202.5</v>
      </c>
      <c r="AL115" s="115">
        <f>100%</f>
        <v>1</v>
      </c>
      <c r="AM115"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Iron Ingot: 67.5/75</v>
      </c>
      <c r="AN115" s="77" t="str">
        <f>IFERROR(INDEX(Production[Input 1],MATCH(IslandModel_1000P[[#This Row],[Building]],Production[Building],0)),"")</f>
        <v>Land tile</v>
      </c>
      <c r="AO115" s="78"/>
      <c r="AP115"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5</v>
      </c>
      <c r="AQ115"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923.35416666666652</v>
      </c>
      <c r="AR115"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4.5</v>
      </c>
      <c r="AS115" s="35" t="str">
        <f>IFERROR(INDEX(Production[Input 2],MATCH(IslandModel_1000P[[#This Row],[Building]],Production[Building],0)),"")</f>
        <v>Iron Ingot</v>
      </c>
      <c r="AT115" s="78"/>
      <c r="AU115"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75</v>
      </c>
      <c r="AV115"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67.5</v>
      </c>
      <c r="AW115"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67.5</v>
      </c>
      <c r="AX115" s="35" t="str">
        <f>IFERROR(INDEX(Production[Input 3],MATCH(IslandModel_1000P[[#This Row],[Building]],Production[Building],0)),"")</f>
        <v>Plank</v>
      </c>
      <c r="AY115" s="78"/>
      <c r="AZ115"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1200</v>
      </c>
      <c r="BA115"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1200</v>
      </c>
      <c r="BB115"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1080</v>
      </c>
      <c r="BC115" s="35">
        <f>IFERROR(INDEX(Production[Input 4],MATCH(IslandModel_1000P[[#This Row],[Building]],Production[Building],0)),"")</f>
        <v>0</v>
      </c>
      <c r="BD115" s="78"/>
      <c r="BE115"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15"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15"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15" s="35">
        <f>IFERROR(INDEX(Production[Input 5],MATCH(IslandModel_1000P[[#This Row],[Building]],Production[Building],0)),"")</f>
        <v>0</v>
      </c>
      <c r="BI115" s="78"/>
      <c r="BJ115"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15"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15"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15" s="35">
        <f>IFERROR(INDEX(Production[Input 6],MATCH(IslandModel_1000P[[#This Row],[Building]],Production[Building],0)),"")</f>
        <v>0</v>
      </c>
      <c r="BN115" s="78"/>
      <c r="BO115"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15"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15"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15" s="35">
        <f>IFERROR(INDEX(Production[Input 7],MATCH(IslandModel_1000P[[#This Row],[Building]],Production[Building],0)),"")</f>
        <v>0</v>
      </c>
      <c r="BS115" s="78"/>
      <c r="BT115"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15"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15"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15" s="35">
        <f>IFERROR(INDEX(Production[Input 8],MATCH(IslandModel_1000P[[#This Row],[Building]],Production[Building],0)),"")</f>
        <v>0</v>
      </c>
      <c r="BX115" s="78"/>
      <c r="BY115"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15"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15"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15" s="35">
        <f>IFERROR(INDEX(Production[Input 9],MATCH(IslandModel_1000P[[#This Row],[Building]],Production[Building],0)),"")</f>
        <v>0</v>
      </c>
      <c r="CC115" s="78"/>
      <c r="CD115"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15"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15"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15" s="35">
        <f>IFERROR(INDEX(Production[Input 10],MATCH(IslandModel_1000P[[#This Row],[Building]],Production[Building],0)),"")</f>
        <v>0</v>
      </c>
      <c r="CH115" s="78"/>
      <c r="CI115"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15"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15"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15"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0.9</v>
      </c>
      <c r="CM115" s="82" t="str">
        <f>IslandModel_1000P[[#This Row],[Resource Produced]]</f>
        <v>Barrel</v>
      </c>
      <c r="CN115" s="42">
        <f>IslandModel_1000P[[#This Row],[Amount produced/h]]</f>
        <v>202.5</v>
      </c>
      <c r="CO115" s="42" t="str">
        <f>IslandModel_1000P[[#This Row],[Input 1]]</f>
        <v>Land tile</v>
      </c>
      <c r="CP115" s="42">
        <f>-IslandModel_1000P[[#This Row],[Input 1 Consumed]]</f>
        <v>-4.5</v>
      </c>
      <c r="CQ115" s="42" t="str">
        <f>IslandModel_1000P[[#This Row],[Input 2]]</f>
        <v>Iron Ingot</v>
      </c>
      <c r="CR115" s="42">
        <f>-IslandModel_1000P[[#This Row],[Input 2 Consumed]]</f>
        <v>-67.5</v>
      </c>
      <c r="CS115" s="42" t="str">
        <f>IslandModel_1000P[[#This Row],[Input 3]]</f>
        <v>Plank</v>
      </c>
      <c r="CT115" s="42">
        <f>-IslandModel_1000P[[#This Row],[Input 3 Consumed]]</f>
        <v>-1080</v>
      </c>
      <c r="CU115" s="42">
        <f>IslandModel_1000P[[#This Row],[Input 4]]</f>
        <v>0</v>
      </c>
      <c r="CV115" s="42">
        <f>-IslandModel_1000P[[#This Row],[Input 4 Consumed]]</f>
        <v>0</v>
      </c>
      <c r="CW115" s="42">
        <f>IslandModel_1000P[[#This Row],[Input 5]]</f>
        <v>0</v>
      </c>
      <c r="CX115" s="42">
        <f>-IslandModel_1000P[[#This Row],[Input 5 Consumed]]</f>
        <v>0</v>
      </c>
      <c r="CY115" s="42">
        <f>IslandModel_1000P[[#This Row],[Input 6]]</f>
        <v>0</v>
      </c>
      <c r="CZ115" s="42">
        <f>-IslandModel_1000P[[#This Row],[Input 6 Consumed]]</f>
        <v>0</v>
      </c>
      <c r="DA115" s="42">
        <f>IslandModel_1000P[[#This Row],[Input 7]]</f>
        <v>0</v>
      </c>
      <c r="DB115" s="42">
        <f>-IslandModel_1000P[[#This Row],[Input 7 Consumed]]</f>
        <v>0</v>
      </c>
      <c r="DC115" s="42">
        <f>IslandModel_1000P[[#This Row],[Input 8]]</f>
        <v>0</v>
      </c>
      <c r="DD115" s="42">
        <f>-IslandModel_1000P[[#This Row],[Input 8 Consumed]]</f>
        <v>0</v>
      </c>
      <c r="DE115" s="42">
        <f>IslandModel_1000P[[#This Row],[Input 9]]</f>
        <v>0</v>
      </c>
      <c r="DF115" s="42">
        <f>-IslandModel_1000P[[#This Row],[Input 9 Consumed]]</f>
        <v>0</v>
      </c>
      <c r="DG115" s="42">
        <f>IslandModel_1000P[[#This Row],[Input 10]]</f>
        <v>0</v>
      </c>
      <c r="DH115" s="42">
        <f>-IslandModel_1000P[[#This Row],[Input 10 Consumed]]</f>
        <v>0</v>
      </c>
      <c r="DJ115" s="69" t="s">
        <v>102</v>
      </c>
      <c r="DK115" s="39">
        <f>SUM(SUMIFS(IslandModel_1000P[Resource 1 Qty],IslandModel_1000P[Resource 1],ResourceAvailable_1000P[[#This Row],[Resource]]))</f>
        <v>570</v>
      </c>
      <c r="DL115"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570</v>
      </c>
      <c r="DM115" s="39">
        <f>ResourceAvailable_1000P[[#This Row],[Amount Produced]]-ResourceAvailable_1000P[[#This Row],[Amount Consumed]]</f>
        <v>0</v>
      </c>
      <c r="DN115" s="20">
        <f>MAX(0,ResourceAvailable_1000P[[#This Row],[Amount Available for Resident Consumption]]-SUMIFS(ConsumptionModel_1000P[Resource Demand],ConsumptionModel_1000P[Resource],ResourceAvailable_1000P[[#This Row],[Resource]]))</f>
        <v>0</v>
      </c>
    </row>
    <row r="116" spans="29:118" ht="21" x14ac:dyDescent="0.65">
      <c r="AC116" s="103" t="s">
        <v>382</v>
      </c>
      <c r="AD116" s="83">
        <f>ROW()</f>
        <v>116</v>
      </c>
      <c r="AE116" s="198">
        <f>AE117*12</f>
        <v>108</v>
      </c>
      <c r="AF116" s="50" t="s">
        <v>656</v>
      </c>
      <c r="AG116" s="18"/>
      <c r="AH116" s="198">
        <f>AH117*12</f>
        <v>108</v>
      </c>
      <c r="AI116" s="157">
        <f>IFERROR(IslandModel_1000P[[#This Row],[Quantity]]/IslandModel_1000P[[#This Row],[Target Quantity]],0)</f>
        <v>1</v>
      </c>
      <c r="AJ116" s="61" t="str">
        <f>IFERROR(INDEX(Production[Resource Produced],MATCH(IslandModel_1000P[[#This Row],[Building]],Production[Building],0)),"")</f>
        <v>Vineyard</v>
      </c>
      <c r="AK116" s="99">
        <f>IFERROR(IslandModel_1000P[[#This Row],[Quantity]]*INDEX(Production[Production in 1h],MATCH(IslandModel_1000P[[#This Row],[Building]],Production[Building],0))*IslandModel_1000P[[#This Row],[Input Consumption Multiplier]],0)</f>
        <v>108</v>
      </c>
      <c r="AL116" s="115">
        <f>100%</f>
        <v>1</v>
      </c>
      <c r="AM116"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16" s="77" t="str">
        <f>IFERROR(INDEX(Production[Input 1],MATCH(IslandModel_1000P[[#This Row],[Building]],Production[Building],0)),"")</f>
        <v>Land tile</v>
      </c>
      <c r="AO116" s="78"/>
      <c r="AP116"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108</v>
      </c>
      <c r="AQ116"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918.85416666666652</v>
      </c>
      <c r="AR116"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108</v>
      </c>
      <c r="AS116" s="35">
        <f>IFERROR(INDEX(Production[Input 2],MATCH(IslandModel_1000P[[#This Row],[Building]],Production[Building],0)),"")</f>
        <v>0</v>
      </c>
      <c r="AT116" s="78"/>
      <c r="AU116"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16"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16"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16" s="35">
        <f>IFERROR(INDEX(Production[Input 3],MATCH(IslandModel_1000P[[#This Row],[Building]],Production[Building],0)),"")</f>
        <v>0</v>
      </c>
      <c r="AY116" s="78"/>
      <c r="AZ116"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16"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16"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16" s="35">
        <f>IFERROR(INDEX(Production[Input 4],MATCH(IslandModel_1000P[[#This Row],[Building]],Production[Building],0)),"")</f>
        <v>0</v>
      </c>
      <c r="BD116" s="78"/>
      <c r="BE116"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16"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16"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16" s="35">
        <f>IFERROR(INDEX(Production[Input 5],MATCH(IslandModel_1000P[[#This Row],[Building]],Production[Building],0)),"")</f>
        <v>0</v>
      </c>
      <c r="BI116" s="78"/>
      <c r="BJ116"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16"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16"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16" s="35">
        <f>IFERROR(INDEX(Production[Input 6],MATCH(IslandModel_1000P[[#This Row],[Building]],Production[Building],0)),"")</f>
        <v>0</v>
      </c>
      <c r="BN116" s="78"/>
      <c r="BO116"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16"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16"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16" s="35">
        <f>IFERROR(INDEX(Production[Input 7],MATCH(IslandModel_1000P[[#This Row],[Building]],Production[Building],0)),"")</f>
        <v>0</v>
      </c>
      <c r="BS116" s="78"/>
      <c r="BT116"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16"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16"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16" s="35">
        <f>IFERROR(INDEX(Production[Input 8],MATCH(IslandModel_1000P[[#This Row],[Building]],Production[Building],0)),"")</f>
        <v>0</v>
      </c>
      <c r="BX116" s="78"/>
      <c r="BY116"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16"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16"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16" s="35">
        <f>IFERROR(INDEX(Production[Input 9],MATCH(IslandModel_1000P[[#This Row],[Building]],Production[Building],0)),"")</f>
        <v>0</v>
      </c>
      <c r="CC116" s="78"/>
      <c r="CD116"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16"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16"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16" s="35">
        <f>IFERROR(INDEX(Production[Input 10],MATCH(IslandModel_1000P[[#This Row],[Building]],Production[Building],0)),"")</f>
        <v>0</v>
      </c>
      <c r="CH116" s="78"/>
      <c r="CI116"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16"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16"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16"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16" s="82" t="str">
        <f>IslandModel_1000P[[#This Row],[Resource Produced]]</f>
        <v>Vineyard</v>
      </c>
      <c r="CN116" s="42">
        <f>IslandModel_1000P[[#This Row],[Amount produced/h]]</f>
        <v>108</v>
      </c>
      <c r="CO116" s="42" t="str">
        <f>IslandModel_1000P[[#This Row],[Input 1]]</f>
        <v>Land tile</v>
      </c>
      <c r="CP116" s="42">
        <f>-IslandModel_1000P[[#This Row],[Input 1 Consumed]]</f>
        <v>-108</v>
      </c>
      <c r="CQ116" s="42">
        <f>IslandModel_1000P[[#This Row],[Input 2]]</f>
        <v>0</v>
      </c>
      <c r="CR116" s="42">
        <f>-IslandModel_1000P[[#This Row],[Input 2 Consumed]]</f>
        <v>0</v>
      </c>
      <c r="CS116" s="42">
        <f>IslandModel_1000P[[#This Row],[Input 3]]</f>
        <v>0</v>
      </c>
      <c r="CT116" s="42">
        <f>-IslandModel_1000P[[#This Row],[Input 3 Consumed]]</f>
        <v>0</v>
      </c>
      <c r="CU116" s="42">
        <f>IslandModel_1000P[[#This Row],[Input 4]]</f>
        <v>0</v>
      </c>
      <c r="CV116" s="42">
        <f>-IslandModel_1000P[[#This Row],[Input 4 Consumed]]</f>
        <v>0</v>
      </c>
      <c r="CW116" s="42">
        <f>IslandModel_1000P[[#This Row],[Input 5]]</f>
        <v>0</v>
      </c>
      <c r="CX116" s="42">
        <f>-IslandModel_1000P[[#This Row],[Input 5 Consumed]]</f>
        <v>0</v>
      </c>
      <c r="CY116" s="42">
        <f>IslandModel_1000P[[#This Row],[Input 6]]</f>
        <v>0</v>
      </c>
      <c r="CZ116" s="42">
        <f>-IslandModel_1000P[[#This Row],[Input 6 Consumed]]</f>
        <v>0</v>
      </c>
      <c r="DA116" s="42">
        <f>IslandModel_1000P[[#This Row],[Input 7]]</f>
        <v>0</v>
      </c>
      <c r="DB116" s="42">
        <f>-IslandModel_1000P[[#This Row],[Input 7 Consumed]]</f>
        <v>0</v>
      </c>
      <c r="DC116" s="42">
        <f>IslandModel_1000P[[#This Row],[Input 8]]</f>
        <v>0</v>
      </c>
      <c r="DD116" s="42">
        <f>-IslandModel_1000P[[#This Row],[Input 8 Consumed]]</f>
        <v>0</v>
      </c>
      <c r="DE116" s="42">
        <f>IslandModel_1000P[[#This Row],[Input 9]]</f>
        <v>0</v>
      </c>
      <c r="DF116" s="42">
        <f>-IslandModel_1000P[[#This Row],[Input 9 Consumed]]</f>
        <v>0</v>
      </c>
      <c r="DG116" s="42">
        <f>IslandModel_1000P[[#This Row],[Input 10]]</f>
        <v>0</v>
      </c>
      <c r="DH116" s="42">
        <f>-IslandModel_1000P[[#This Row],[Input 10 Consumed]]</f>
        <v>0</v>
      </c>
      <c r="DJ116" s="69" t="s">
        <v>84</v>
      </c>
      <c r="DK116" s="39">
        <f>SUM(SUMIFS(IslandModel_1000P[Resource 1 Qty],IslandModel_1000P[Resource 1],ResourceAvailable_1000P[[#This Row],[Resource]]))</f>
        <v>0</v>
      </c>
      <c r="DL116"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116" s="39">
        <f>ResourceAvailable_1000P[[#This Row],[Amount Produced]]-ResourceAvailable_1000P[[#This Row],[Amount Consumed]]</f>
        <v>0</v>
      </c>
      <c r="DN116" s="20">
        <f>MAX(0,ResourceAvailable_1000P[[#This Row],[Amount Available for Resident Consumption]]-SUMIFS(ConsumptionModel_1000P[Resource Demand],ConsumptionModel_1000P[Resource],ResourceAvailable_1000P[[#This Row],[Resource]]))</f>
        <v>0</v>
      </c>
    </row>
    <row r="117" spans="29:118" ht="21" x14ac:dyDescent="0.65">
      <c r="AC117" s="103" t="s">
        <v>382</v>
      </c>
      <c r="AD117" s="83">
        <f>ROW()</f>
        <v>117</v>
      </c>
      <c r="AE117" s="74">
        <v>9</v>
      </c>
      <c r="AF117" s="50" t="s">
        <v>436</v>
      </c>
      <c r="AG117" s="18"/>
      <c r="AH117" s="74">
        <v>9</v>
      </c>
      <c r="AI117" s="157">
        <f>IFERROR(IslandModel_1000P[[#This Row],[Quantity]]/IslandModel_1000P[[#This Row],[Target Quantity]],0)</f>
        <v>1</v>
      </c>
      <c r="AJ117" s="61" t="str">
        <f>IFERROR(INDEX(Production[Resource Produced],MATCH(IslandModel_1000P[[#This Row],[Building]],Production[Building],0)),"")</f>
        <v>Grape</v>
      </c>
      <c r="AK117" s="99">
        <f>IFERROR(IslandModel_1000P[[#This Row],[Quantity]]*INDEX(Production[Production in 1h],MATCH(IslandModel_1000P[[#This Row],[Building]],Production[Building],0))*IslandModel_1000P[[#This Row],[Input Consumption Multiplier]],0)</f>
        <v>405</v>
      </c>
      <c r="AL117" s="115">
        <f>100%</f>
        <v>1</v>
      </c>
      <c r="AM117"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17" s="77" t="str">
        <f>IFERROR(INDEX(Production[Input 1],MATCH(IslandModel_1000P[[#This Row],[Building]],Production[Building],0)),"")</f>
        <v>Land tile</v>
      </c>
      <c r="AO117" s="78"/>
      <c r="AP117"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9</v>
      </c>
      <c r="AQ117"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810.85416666666652</v>
      </c>
      <c r="AR117"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9</v>
      </c>
      <c r="AS117" s="35" t="str">
        <f>IFERROR(INDEX(Production[Input 2],MATCH(IslandModel_1000P[[#This Row],[Building]],Production[Building],0)),"")</f>
        <v>Vineyard</v>
      </c>
      <c r="AT117" s="78"/>
      <c r="AU117"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108</v>
      </c>
      <c r="AV117"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108</v>
      </c>
      <c r="AW117"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108</v>
      </c>
      <c r="AX117" s="35">
        <f>IFERROR(INDEX(Production[Input 3],MATCH(IslandModel_1000P[[#This Row],[Building]],Production[Building],0)),"")</f>
        <v>0</v>
      </c>
      <c r="AY117" s="78"/>
      <c r="AZ117"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17"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17"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17" s="35">
        <f>IFERROR(INDEX(Production[Input 4],MATCH(IslandModel_1000P[[#This Row],[Building]],Production[Building],0)),"")</f>
        <v>0</v>
      </c>
      <c r="BD117" s="78"/>
      <c r="BE117"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17"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17"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17" s="35">
        <f>IFERROR(INDEX(Production[Input 5],MATCH(IslandModel_1000P[[#This Row],[Building]],Production[Building],0)),"")</f>
        <v>0</v>
      </c>
      <c r="BI117" s="78"/>
      <c r="BJ117"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17"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17"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17" s="35">
        <f>IFERROR(INDEX(Production[Input 6],MATCH(IslandModel_1000P[[#This Row],[Building]],Production[Building],0)),"")</f>
        <v>0</v>
      </c>
      <c r="BN117" s="78"/>
      <c r="BO117"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17"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17"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17" s="35">
        <f>IFERROR(INDEX(Production[Input 7],MATCH(IslandModel_1000P[[#This Row],[Building]],Production[Building],0)),"")</f>
        <v>0</v>
      </c>
      <c r="BS117" s="78"/>
      <c r="BT117"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17"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17"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17" s="35">
        <f>IFERROR(INDEX(Production[Input 8],MATCH(IslandModel_1000P[[#This Row],[Building]],Production[Building],0)),"")</f>
        <v>0</v>
      </c>
      <c r="BX117" s="78"/>
      <c r="BY117"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17"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17"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17" s="35">
        <f>IFERROR(INDEX(Production[Input 9],MATCH(IslandModel_1000P[[#This Row],[Building]],Production[Building],0)),"")</f>
        <v>0</v>
      </c>
      <c r="CC117" s="78"/>
      <c r="CD117"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17"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17"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17" s="35">
        <f>IFERROR(INDEX(Production[Input 10],MATCH(IslandModel_1000P[[#This Row],[Building]],Production[Building],0)),"")</f>
        <v>0</v>
      </c>
      <c r="CH117" s="78"/>
      <c r="CI117"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17"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17"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17"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17" s="82" t="str">
        <f>IslandModel_1000P[[#This Row],[Resource Produced]]</f>
        <v>Grape</v>
      </c>
      <c r="CN117" s="42">
        <f>IslandModel_1000P[[#This Row],[Amount produced/h]]</f>
        <v>405</v>
      </c>
      <c r="CO117" s="42" t="str">
        <f>IslandModel_1000P[[#This Row],[Input 1]]</f>
        <v>Land tile</v>
      </c>
      <c r="CP117" s="42">
        <f>-IslandModel_1000P[[#This Row],[Input 1 Consumed]]</f>
        <v>-9</v>
      </c>
      <c r="CQ117" s="42" t="str">
        <f>IslandModel_1000P[[#This Row],[Input 2]]</f>
        <v>Vineyard</v>
      </c>
      <c r="CR117" s="42">
        <f>-IslandModel_1000P[[#This Row],[Input 2 Consumed]]</f>
        <v>-108</v>
      </c>
      <c r="CS117" s="42">
        <f>IslandModel_1000P[[#This Row],[Input 3]]</f>
        <v>0</v>
      </c>
      <c r="CT117" s="42">
        <f>-IslandModel_1000P[[#This Row],[Input 3 Consumed]]</f>
        <v>0</v>
      </c>
      <c r="CU117" s="42">
        <f>IslandModel_1000P[[#This Row],[Input 4]]</f>
        <v>0</v>
      </c>
      <c r="CV117" s="42">
        <f>-IslandModel_1000P[[#This Row],[Input 4 Consumed]]</f>
        <v>0</v>
      </c>
      <c r="CW117" s="42">
        <f>IslandModel_1000P[[#This Row],[Input 5]]</f>
        <v>0</v>
      </c>
      <c r="CX117" s="42">
        <f>-IslandModel_1000P[[#This Row],[Input 5 Consumed]]</f>
        <v>0</v>
      </c>
      <c r="CY117" s="42">
        <f>IslandModel_1000P[[#This Row],[Input 6]]</f>
        <v>0</v>
      </c>
      <c r="CZ117" s="42">
        <f>-IslandModel_1000P[[#This Row],[Input 6 Consumed]]</f>
        <v>0</v>
      </c>
      <c r="DA117" s="42">
        <f>IslandModel_1000P[[#This Row],[Input 7]]</f>
        <v>0</v>
      </c>
      <c r="DB117" s="42">
        <f>-IslandModel_1000P[[#This Row],[Input 7 Consumed]]</f>
        <v>0</v>
      </c>
      <c r="DC117" s="42">
        <f>IslandModel_1000P[[#This Row],[Input 8]]</f>
        <v>0</v>
      </c>
      <c r="DD117" s="42">
        <f>-IslandModel_1000P[[#This Row],[Input 8 Consumed]]</f>
        <v>0</v>
      </c>
      <c r="DE117" s="42">
        <f>IslandModel_1000P[[#This Row],[Input 9]]</f>
        <v>0</v>
      </c>
      <c r="DF117" s="42">
        <f>-IslandModel_1000P[[#This Row],[Input 9 Consumed]]</f>
        <v>0</v>
      </c>
      <c r="DG117" s="42">
        <f>IslandModel_1000P[[#This Row],[Input 10]]</f>
        <v>0</v>
      </c>
      <c r="DH117" s="42">
        <f>-IslandModel_1000P[[#This Row],[Input 10 Consumed]]</f>
        <v>0</v>
      </c>
      <c r="DJ117" s="69" t="s">
        <v>382</v>
      </c>
      <c r="DK117" s="39">
        <f>SUM(SUMIFS(IslandModel_1000P[Resource 1 Qty],IslandModel_1000P[Resource 1],ResourceAvailable_1000P[[#This Row],[Resource]]))</f>
        <v>303.75</v>
      </c>
      <c r="DL117"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0</v>
      </c>
      <c r="DM117" s="39">
        <f>ResourceAvailable_1000P[[#This Row],[Amount Produced]]-ResourceAvailable_1000P[[#This Row],[Amount Consumed]]</f>
        <v>303.75</v>
      </c>
      <c r="DN117" s="58">
        <f>MAX(0,ResourceAvailable_1000P[[#This Row],[Amount Available for Resident Consumption]]-SUMIFS(ConsumptionModel_1000P[Resource Demand],ConsumptionModel_1000P[Resource],ResourceAvailable_1000P[[#This Row],[Resource]]))</f>
        <v>31.75</v>
      </c>
    </row>
    <row r="118" spans="29:118" ht="30" x14ac:dyDescent="0.65">
      <c r="AC118" s="103" t="s">
        <v>382</v>
      </c>
      <c r="AD118" s="83">
        <f>ROW()</f>
        <v>118</v>
      </c>
      <c r="AE118" s="74">
        <v>7</v>
      </c>
      <c r="AF118" s="50" t="s">
        <v>657</v>
      </c>
      <c r="AG118" s="18"/>
      <c r="AH118" s="74">
        <v>7</v>
      </c>
      <c r="AI118" s="157">
        <f>IFERROR(IslandModel_1000P[[#This Row],[Quantity]]/IslandModel_1000P[[#This Row],[Target Quantity]],0)</f>
        <v>1</v>
      </c>
      <c r="AJ118" s="61" t="str">
        <f>IFERROR(INDEX(Production[Resource Produced],MATCH(IslandModel_1000P[[#This Row],[Building]],Production[Building],0)),"")</f>
        <v>Wine</v>
      </c>
      <c r="AK118" s="99">
        <f>IFERROR(IslandModel_1000P[[#This Row],[Quantity]]*INDEX(Production[Production in 1h],MATCH(IslandModel_1000P[[#This Row],[Building]],Production[Building],0))*IslandModel_1000P[[#This Row],[Input Consumption Multiplier]],0)</f>
        <v>303.75</v>
      </c>
      <c r="AL118" s="115">
        <f>100%</f>
        <v>1</v>
      </c>
      <c r="AM118"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Grape: 405/420, Barrel: 202.5/210</v>
      </c>
      <c r="AN118" s="77" t="str">
        <f>IFERROR(INDEX(Production[Input 1],MATCH(IslandModel_1000P[[#This Row],[Building]],Production[Building],0)),"")</f>
        <v>Land tile</v>
      </c>
      <c r="AO118" s="78"/>
      <c r="AP118"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7</v>
      </c>
      <c r="AQ118"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801.85416666666652</v>
      </c>
      <c r="AR118"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6.75</v>
      </c>
      <c r="AS118" s="35" t="str">
        <f>IFERROR(INDEX(Production[Input 2],MATCH(IslandModel_1000P[[#This Row],[Building]],Production[Building],0)),"")</f>
        <v>Grape</v>
      </c>
      <c r="AT118" s="78"/>
      <c r="AU118"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420</v>
      </c>
      <c r="AV118"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405</v>
      </c>
      <c r="AW118"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405</v>
      </c>
      <c r="AX118" s="35" t="str">
        <f>IFERROR(INDEX(Production[Input 3],MATCH(IslandModel_1000P[[#This Row],[Building]],Production[Building],0)),"")</f>
        <v>Barrel</v>
      </c>
      <c r="AY118" s="78"/>
      <c r="AZ118"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210</v>
      </c>
      <c r="BA118"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202.5</v>
      </c>
      <c r="BB118"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202.5</v>
      </c>
      <c r="BC118" s="35">
        <f>IFERROR(INDEX(Production[Input 4],MATCH(IslandModel_1000P[[#This Row],[Building]],Production[Building],0)),"")</f>
        <v>0</v>
      </c>
      <c r="BD118" s="78"/>
      <c r="BE118"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18"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18"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18" s="35">
        <f>IFERROR(INDEX(Production[Input 5],MATCH(IslandModel_1000P[[#This Row],[Building]],Production[Building],0)),"")</f>
        <v>0</v>
      </c>
      <c r="BI118" s="78"/>
      <c r="BJ118"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18"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18"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18" s="35">
        <f>IFERROR(INDEX(Production[Input 6],MATCH(IslandModel_1000P[[#This Row],[Building]],Production[Building],0)),"")</f>
        <v>0</v>
      </c>
      <c r="BN118" s="78"/>
      <c r="BO118"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18"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18"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18" s="35">
        <f>IFERROR(INDEX(Production[Input 7],MATCH(IslandModel_1000P[[#This Row],[Building]],Production[Building],0)),"")</f>
        <v>0</v>
      </c>
      <c r="BS118" s="78"/>
      <c r="BT118"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18"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18"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18" s="35">
        <f>IFERROR(INDEX(Production[Input 8],MATCH(IslandModel_1000P[[#This Row],[Building]],Production[Building],0)),"")</f>
        <v>0</v>
      </c>
      <c r="BX118" s="78"/>
      <c r="BY118"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18"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18"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18" s="35">
        <f>IFERROR(INDEX(Production[Input 9],MATCH(IslandModel_1000P[[#This Row],[Building]],Production[Building],0)),"")</f>
        <v>0</v>
      </c>
      <c r="CC118" s="78"/>
      <c r="CD118"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18"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18"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18" s="35">
        <f>IFERROR(INDEX(Production[Input 10],MATCH(IslandModel_1000P[[#This Row],[Building]],Production[Building],0)),"")</f>
        <v>0</v>
      </c>
      <c r="CH118" s="78"/>
      <c r="CI118"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18"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18"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18"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0.9642857142857143</v>
      </c>
      <c r="CM118" s="82" t="str">
        <f>IslandModel_1000P[[#This Row],[Resource Produced]]</f>
        <v>Wine</v>
      </c>
      <c r="CN118" s="42">
        <f>IslandModel_1000P[[#This Row],[Amount produced/h]]</f>
        <v>303.75</v>
      </c>
      <c r="CO118" s="42" t="str">
        <f>IslandModel_1000P[[#This Row],[Input 1]]</f>
        <v>Land tile</v>
      </c>
      <c r="CP118" s="42">
        <f>-IslandModel_1000P[[#This Row],[Input 1 Consumed]]</f>
        <v>-6.75</v>
      </c>
      <c r="CQ118" s="42" t="str">
        <f>IslandModel_1000P[[#This Row],[Input 2]]</f>
        <v>Grape</v>
      </c>
      <c r="CR118" s="42">
        <f>-IslandModel_1000P[[#This Row],[Input 2 Consumed]]</f>
        <v>-405</v>
      </c>
      <c r="CS118" s="42" t="str">
        <f>IslandModel_1000P[[#This Row],[Input 3]]</f>
        <v>Barrel</v>
      </c>
      <c r="CT118" s="42">
        <f>-IslandModel_1000P[[#This Row],[Input 3 Consumed]]</f>
        <v>-202.5</v>
      </c>
      <c r="CU118" s="42">
        <f>IslandModel_1000P[[#This Row],[Input 4]]</f>
        <v>0</v>
      </c>
      <c r="CV118" s="42">
        <f>-IslandModel_1000P[[#This Row],[Input 4 Consumed]]</f>
        <v>0</v>
      </c>
      <c r="CW118" s="42">
        <f>IslandModel_1000P[[#This Row],[Input 5]]</f>
        <v>0</v>
      </c>
      <c r="CX118" s="42">
        <f>-IslandModel_1000P[[#This Row],[Input 5 Consumed]]</f>
        <v>0</v>
      </c>
      <c r="CY118" s="42">
        <f>IslandModel_1000P[[#This Row],[Input 6]]</f>
        <v>0</v>
      </c>
      <c r="CZ118" s="42">
        <f>-IslandModel_1000P[[#This Row],[Input 6 Consumed]]</f>
        <v>0</v>
      </c>
      <c r="DA118" s="42">
        <f>IslandModel_1000P[[#This Row],[Input 7]]</f>
        <v>0</v>
      </c>
      <c r="DB118" s="42">
        <f>-IslandModel_1000P[[#This Row],[Input 7 Consumed]]</f>
        <v>0</v>
      </c>
      <c r="DC118" s="42">
        <f>IslandModel_1000P[[#This Row],[Input 8]]</f>
        <v>0</v>
      </c>
      <c r="DD118" s="42">
        <f>-IslandModel_1000P[[#This Row],[Input 8 Consumed]]</f>
        <v>0</v>
      </c>
      <c r="DE118" s="42">
        <f>IslandModel_1000P[[#This Row],[Input 9]]</f>
        <v>0</v>
      </c>
      <c r="DF118" s="42">
        <f>-IslandModel_1000P[[#This Row],[Input 9 Consumed]]</f>
        <v>0</v>
      </c>
      <c r="DG118" s="42">
        <f>IslandModel_1000P[[#This Row],[Input 10]]</f>
        <v>0</v>
      </c>
      <c r="DH118" s="42">
        <f>-IslandModel_1000P[[#This Row],[Input 10 Consumed]]</f>
        <v>0</v>
      </c>
      <c r="DJ118" s="69" t="s">
        <v>49</v>
      </c>
      <c r="DK118" s="39">
        <f>SUM(SUMIFS(IslandModel_1000P[Resource 1 Qty],IslandModel_1000P[Resource 1],ResourceAvailable_1000P[[#This Row],[Resource]]))</f>
        <v>3600</v>
      </c>
      <c r="DL118" s="39">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2985</v>
      </c>
      <c r="DM118" s="39">
        <f>ResourceAvailable_1000P[[#This Row],[Amount Produced]]-ResourceAvailable_1000P[[#This Row],[Amount Consumed]]</f>
        <v>615</v>
      </c>
      <c r="DN118" s="20">
        <f>MAX(0,ResourceAvailable_1000P[[#This Row],[Amount Available for Resident Consumption]]-SUMIFS(ConsumptionModel_1000P[Resource Demand],ConsumptionModel_1000P[Resource],ResourceAvailable_1000P[[#This Row],[Resource]]))</f>
        <v>615</v>
      </c>
    </row>
    <row r="119" spans="29:118" ht="21" x14ac:dyDescent="0.65">
      <c r="AC119" s="103" t="s">
        <v>465</v>
      </c>
      <c r="AD119" s="83">
        <f>ROW()</f>
        <v>119</v>
      </c>
      <c r="AE119" s="74">
        <v>1</v>
      </c>
      <c r="AF119" s="72" t="s">
        <v>462</v>
      </c>
      <c r="AG119" s="18"/>
      <c r="AH119" s="74">
        <v>1</v>
      </c>
      <c r="AI119" s="157">
        <f>IFERROR(IslandModel_1000P[[#This Row],[Quantity]]/IslandModel_1000P[[#This Row],[Target Quantity]],0)</f>
        <v>1</v>
      </c>
      <c r="AJ119" s="61" t="str">
        <f>IFERROR(INDEX(Production[Resource Produced],MATCH(IslandModel_1000P[[#This Row],[Building]],Production[Building],0)),"")</f>
        <v>Entertainment</v>
      </c>
      <c r="AK119" s="99">
        <f>IFERROR(IslandModel_1000P[[#This Row],[Quantity]]*INDEX(Production[Production in 1h],MATCH(IslandModel_1000P[[#This Row],[Building]],Production[Building],0))*IslandModel_1000P[[#This Row],[Input Consumption Multiplier]],0)</f>
        <v>1</v>
      </c>
      <c r="AL119" s="115">
        <f>100%</f>
        <v>1</v>
      </c>
      <c r="AM119"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19" s="77" t="str">
        <f>IFERROR(INDEX(Production[Input 1],MATCH(IslandModel_1000P[[#This Row],[Building]],Production[Building],0)),"")</f>
        <v>Land tile</v>
      </c>
      <c r="AO119" s="78"/>
      <c r="AP119"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v>
      </c>
      <c r="AQ119"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795.10416666666652</v>
      </c>
      <c r="AR119"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v>
      </c>
      <c r="AS119" s="35">
        <f>IFERROR(INDEX(Production[Input 2],MATCH(IslandModel_1000P[[#This Row],[Building]],Production[Building],0)),"")</f>
        <v>0</v>
      </c>
      <c r="AT119" s="78"/>
      <c r="AU119"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19"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19"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19" s="35">
        <f>IFERROR(INDEX(Production[Input 3],MATCH(IslandModel_1000P[[#This Row],[Building]],Production[Building],0)),"")</f>
        <v>0</v>
      </c>
      <c r="AY119" s="78"/>
      <c r="AZ119"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19"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19"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19" s="35">
        <f>IFERROR(INDEX(Production[Input 4],MATCH(IslandModel_1000P[[#This Row],[Building]],Production[Building],0)),"")</f>
        <v>0</v>
      </c>
      <c r="BD119" s="78"/>
      <c r="BE119"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19"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19"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19" s="35">
        <f>IFERROR(INDEX(Production[Input 5],MATCH(IslandModel_1000P[[#This Row],[Building]],Production[Building],0)),"")</f>
        <v>0</v>
      </c>
      <c r="BI119" s="78"/>
      <c r="BJ119"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19"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19"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19" s="35">
        <f>IFERROR(INDEX(Production[Input 6],MATCH(IslandModel_1000P[[#This Row],[Building]],Production[Building],0)),"")</f>
        <v>0</v>
      </c>
      <c r="BN119" s="78"/>
      <c r="BO119"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19"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19"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19" s="35">
        <f>IFERROR(INDEX(Production[Input 7],MATCH(IslandModel_1000P[[#This Row],[Building]],Production[Building],0)),"")</f>
        <v>0</v>
      </c>
      <c r="BS119" s="78"/>
      <c r="BT119"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19"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19"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19" s="35">
        <f>IFERROR(INDEX(Production[Input 8],MATCH(IslandModel_1000P[[#This Row],[Building]],Production[Building],0)),"")</f>
        <v>0</v>
      </c>
      <c r="BX119" s="78"/>
      <c r="BY119"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19"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19"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19" s="35">
        <f>IFERROR(INDEX(Production[Input 9],MATCH(IslandModel_1000P[[#This Row],[Building]],Production[Building],0)),"")</f>
        <v>0</v>
      </c>
      <c r="CC119" s="78"/>
      <c r="CD119"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19"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19"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19" s="35">
        <f>IFERROR(INDEX(Production[Input 10],MATCH(IslandModel_1000P[[#This Row],[Building]],Production[Building],0)),"")</f>
        <v>0</v>
      </c>
      <c r="CH119" s="78"/>
      <c r="CI119"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19"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19"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19"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19" s="82" t="str">
        <f>IslandModel_1000P[[#This Row],[Resource Produced]]</f>
        <v>Entertainment</v>
      </c>
      <c r="CN119" s="42">
        <f>IslandModel_1000P[[#This Row],[Amount produced/h]]</f>
        <v>1</v>
      </c>
      <c r="CO119" s="42" t="str">
        <f>IslandModel_1000P[[#This Row],[Input 1]]</f>
        <v>Land tile</v>
      </c>
      <c r="CP119" s="42">
        <f>-IslandModel_1000P[[#This Row],[Input 1 Consumed]]</f>
        <v>-1</v>
      </c>
      <c r="CQ119" s="42">
        <f>IslandModel_1000P[[#This Row],[Input 2]]</f>
        <v>0</v>
      </c>
      <c r="CR119" s="42">
        <f>-IslandModel_1000P[[#This Row],[Input 2 Consumed]]</f>
        <v>0</v>
      </c>
      <c r="CS119" s="42">
        <f>IslandModel_1000P[[#This Row],[Input 3]]</f>
        <v>0</v>
      </c>
      <c r="CT119" s="42">
        <f>-IslandModel_1000P[[#This Row],[Input 3 Consumed]]</f>
        <v>0</v>
      </c>
      <c r="CU119" s="42">
        <f>IslandModel_1000P[[#This Row],[Input 4]]</f>
        <v>0</v>
      </c>
      <c r="CV119" s="42">
        <f>-IslandModel_1000P[[#This Row],[Input 4 Consumed]]</f>
        <v>0</v>
      </c>
      <c r="CW119" s="42">
        <f>IslandModel_1000P[[#This Row],[Input 5]]</f>
        <v>0</v>
      </c>
      <c r="CX119" s="42">
        <f>-IslandModel_1000P[[#This Row],[Input 5 Consumed]]</f>
        <v>0</v>
      </c>
      <c r="CY119" s="42">
        <f>IslandModel_1000P[[#This Row],[Input 6]]</f>
        <v>0</v>
      </c>
      <c r="CZ119" s="42">
        <f>-IslandModel_1000P[[#This Row],[Input 6 Consumed]]</f>
        <v>0</v>
      </c>
      <c r="DA119" s="42">
        <f>IslandModel_1000P[[#This Row],[Input 7]]</f>
        <v>0</v>
      </c>
      <c r="DB119" s="42">
        <f>-IslandModel_1000P[[#This Row],[Input 7 Consumed]]</f>
        <v>0</v>
      </c>
      <c r="DC119" s="42">
        <f>IslandModel_1000P[[#This Row],[Input 8]]</f>
        <v>0</v>
      </c>
      <c r="DD119" s="42">
        <f>-IslandModel_1000P[[#This Row],[Input 8 Consumed]]</f>
        <v>0</v>
      </c>
      <c r="DE119" s="42">
        <f>IslandModel_1000P[[#This Row],[Input 9]]</f>
        <v>0</v>
      </c>
      <c r="DF119" s="42">
        <f>-IslandModel_1000P[[#This Row],[Input 9 Consumed]]</f>
        <v>0</v>
      </c>
      <c r="DG119" s="42">
        <f>IslandModel_1000P[[#This Row],[Input 10]]</f>
        <v>0</v>
      </c>
      <c r="DH119" s="42">
        <f>-IslandModel_1000P[[#This Row],[Input 10 Consumed]]</f>
        <v>0</v>
      </c>
      <c r="DJ119" s="69" t="s">
        <v>366</v>
      </c>
      <c r="DK119" s="39">
        <f>SUM(SUMIFS(IslandModel_1000P[Resource 1 Qty],IslandModel_1000P[Resource 1],ResourceAvailable_1000P[[#This Row],[Resource]]))</f>
        <v>1440</v>
      </c>
      <c r="DL119" s="70">
        <f>-1*SUM(SUMIFS(IslandModel_1000P[Resource 2 Qty],IslandModel_1000P[Resource 2],ResourceAvailable_1000P[[#This Row],[Resource]]),
SUMIFS(IslandModel_1000P[Resource 3 Qty],IslandModel_1000P[Resource 3],ResourceAvailable_1000P[[#This Row],[Resource]]),
SUMIFS(IslandModel_1000P[Resource 4 Qty],IslandModel_1000P[Resource 4],ResourceAvailable_1000P[[#This Row],[Resource]]),
SUMIFS(IslandModel_1000P[Resource 5 Qty],IslandModel_1000P[Resource 5],ResourceAvailable_1000P[[#This Row],[Resource]]),
SUMIFS(IslandModel_1000P[Resource 6 Qty],IslandModel_1000P[Resource 6],ResourceAvailable_1000P[[#This Row],[Resource]]),
SUMIFS(IslandModel_1000P[Resource 7 Qty],IslandModel_1000P[Resource 7],ResourceAvailable_1000P[[#This Row],[Resource]]),
SUMIFS(IslandModel_1000P[Resource 8 Qty],IslandModel_1000P[Resource 8],ResourceAvailable_1000P[[#This Row],[Resource]]),
SUMIFS(IslandModel_1000P[Resource 9 Qty],IslandModel_1000P[Resource 9],ResourceAvailable_1000P[[#This Row],[Resource]]),
SUMIFS(IslandModel_1000P[Resource 10 Qty],IslandModel_1000P[Resource 10],ResourceAvailable_1000P[[#This Row],[Resource]]),
SUMIFS(IslandModel_1000P[Resource 11 Qty],IslandModel_1000P[Resource 11],ResourceAvailable_1000P[[#This Row],[Resource]]))</f>
        <v>1440</v>
      </c>
      <c r="DM119" s="39">
        <f>ResourceAvailable_1000P[[#This Row],[Amount Produced]]-ResourceAvailable_1000P[[#This Row],[Amount Consumed]]</f>
        <v>0</v>
      </c>
      <c r="DN119" s="58">
        <f>MAX(0,ResourceAvailable_1000P[[#This Row],[Amount Available for Resident Consumption]]-SUMIFS(ConsumptionModel_1000P[Resource Demand],ConsumptionModel_1000P[Resource],ResourceAvailable_1000P[[#This Row],[Resource]]))</f>
        <v>0</v>
      </c>
    </row>
    <row r="120" spans="29:118" ht="21" x14ac:dyDescent="0.65">
      <c r="AC120" s="103" t="s">
        <v>652</v>
      </c>
      <c r="AD120" s="83">
        <f>ROW()</f>
        <v>120</v>
      </c>
      <c r="AE120" s="74">
        <f>AE121*20</f>
        <v>40</v>
      </c>
      <c r="AF120" s="72" t="s">
        <v>511</v>
      </c>
      <c r="AG120" s="18"/>
      <c r="AH120" s="74">
        <f>AH121*20</f>
        <v>40</v>
      </c>
      <c r="AI120" s="157">
        <f>IFERROR(IslandModel_1000P[[#This Row],[Quantity]]/IslandModel_1000P[[#This Row],[Target Quantity]],0)</f>
        <v>1</v>
      </c>
      <c r="AJ120" s="61" t="str">
        <f>IFERROR(INDEX(Production[Resource Produced],MATCH(IslandModel_1000P[[#This Row],[Building]],Production[Building],0)),"")</f>
        <v>Horse Field</v>
      </c>
      <c r="AK120" s="99">
        <f>IFERROR(IslandModel_1000P[[#This Row],[Quantity]]*INDEX(Production[Production in 1h],MATCH(IslandModel_1000P[[#This Row],[Building]],Production[Building],0))*IslandModel_1000P[[#This Row],[Input Consumption Multiplier]],0)</f>
        <v>40</v>
      </c>
      <c r="AL120" s="115">
        <f>100%</f>
        <v>1</v>
      </c>
      <c r="AM120"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20" s="77" t="str">
        <f>IFERROR(INDEX(Production[Input 1],MATCH(IslandModel_1000P[[#This Row],[Building]],Production[Building],0)),"")</f>
        <v>Land tile</v>
      </c>
      <c r="AO120" s="78"/>
      <c r="AP120"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40</v>
      </c>
      <c r="AQ120"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794.10416666666652</v>
      </c>
      <c r="AR120"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40</v>
      </c>
      <c r="AS120" s="35">
        <f>IFERROR(INDEX(Production[Input 2],MATCH(IslandModel_1000P[[#This Row],[Building]],Production[Building],0)),"")</f>
        <v>0</v>
      </c>
      <c r="AT120" s="78"/>
      <c r="AU120"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20"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20"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20" s="35">
        <f>IFERROR(INDEX(Production[Input 3],MATCH(IslandModel_1000P[[#This Row],[Building]],Production[Building],0)),"")</f>
        <v>0</v>
      </c>
      <c r="AY120" s="78"/>
      <c r="AZ120"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20"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20"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20" s="35">
        <f>IFERROR(INDEX(Production[Input 4],MATCH(IslandModel_1000P[[#This Row],[Building]],Production[Building],0)),"")</f>
        <v>0</v>
      </c>
      <c r="BD120" s="78"/>
      <c r="BE120"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20"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20"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20" s="35">
        <f>IFERROR(INDEX(Production[Input 5],MATCH(IslandModel_1000P[[#This Row],[Building]],Production[Building],0)),"")</f>
        <v>0</v>
      </c>
      <c r="BI120" s="78"/>
      <c r="BJ120"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20"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20"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20" s="35">
        <f>IFERROR(INDEX(Production[Input 6],MATCH(IslandModel_1000P[[#This Row],[Building]],Production[Building],0)),"")</f>
        <v>0</v>
      </c>
      <c r="BN120" s="78"/>
      <c r="BO120"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20"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20"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20" s="35">
        <f>IFERROR(INDEX(Production[Input 7],MATCH(IslandModel_1000P[[#This Row],[Building]],Production[Building],0)),"")</f>
        <v>0</v>
      </c>
      <c r="BS120" s="78"/>
      <c r="BT120"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20"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20"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20" s="35">
        <f>IFERROR(INDEX(Production[Input 8],MATCH(IslandModel_1000P[[#This Row],[Building]],Production[Building],0)),"")</f>
        <v>0</v>
      </c>
      <c r="BX120" s="78"/>
      <c r="BY120"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20"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20"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20" s="35">
        <f>IFERROR(INDEX(Production[Input 9],MATCH(IslandModel_1000P[[#This Row],[Building]],Production[Building],0)),"")</f>
        <v>0</v>
      </c>
      <c r="CC120" s="78"/>
      <c r="CD120"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20"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20"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20" s="35">
        <f>IFERROR(INDEX(Production[Input 10],MATCH(IslandModel_1000P[[#This Row],[Building]],Production[Building],0)),"")</f>
        <v>0</v>
      </c>
      <c r="CH120" s="78"/>
      <c r="CI120"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20"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20"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20"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20" s="82" t="str">
        <f>IslandModel_1000P[[#This Row],[Resource Produced]]</f>
        <v>Horse Field</v>
      </c>
      <c r="CN120" s="42">
        <f>IslandModel_1000P[[#This Row],[Amount produced/h]]</f>
        <v>40</v>
      </c>
      <c r="CO120" s="42" t="str">
        <f>IslandModel_1000P[[#This Row],[Input 1]]</f>
        <v>Land tile</v>
      </c>
      <c r="CP120" s="42">
        <f>-IslandModel_1000P[[#This Row],[Input 1 Consumed]]</f>
        <v>-40</v>
      </c>
      <c r="CQ120" s="42">
        <f>IslandModel_1000P[[#This Row],[Input 2]]</f>
        <v>0</v>
      </c>
      <c r="CR120" s="42">
        <f>-IslandModel_1000P[[#This Row],[Input 2 Consumed]]</f>
        <v>0</v>
      </c>
      <c r="CS120" s="42">
        <f>IslandModel_1000P[[#This Row],[Input 3]]</f>
        <v>0</v>
      </c>
      <c r="CT120" s="42">
        <f>-IslandModel_1000P[[#This Row],[Input 3 Consumed]]</f>
        <v>0</v>
      </c>
      <c r="CU120" s="42">
        <f>IslandModel_1000P[[#This Row],[Input 4]]</f>
        <v>0</v>
      </c>
      <c r="CV120" s="42">
        <f>-IslandModel_1000P[[#This Row],[Input 4 Consumed]]</f>
        <v>0</v>
      </c>
      <c r="CW120" s="42">
        <f>IslandModel_1000P[[#This Row],[Input 5]]</f>
        <v>0</v>
      </c>
      <c r="CX120" s="42">
        <f>-IslandModel_1000P[[#This Row],[Input 5 Consumed]]</f>
        <v>0</v>
      </c>
      <c r="CY120" s="42">
        <f>IslandModel_1000P[[#This Row],[Input 6]]</f>
        <v>0</v>
      </c>
      <c r="CZ120" s="42">
        <f>-IslandModel_1000P[[#This Row],[Input 6 Consumed]]</f>
        <v>0</v>
      </c>
      <c r="DA120" s="42">
        <f>IslandModel_1000P[[#This Row],[Input 7]]</f>
        <v>0</v>
      </c>
      <c r="DB120" s="42">
        <f>-IslandModel_1000P[[#This Row],[Input 7 Consumed]]</f>
        <v>0</v>
      </c>
      <c r="DC120" s="42">
        <f>IslandModel_1000P[[#This Row],[Input 8]]</f>
        <v>0</v>
      </c>
      <c r="DD120" s="42">
        <f>-IslandModel_1000P[[#This Row],[Input 8 Consumed]]</f>
        <v>0</v>
      </c>
      <c r="DE120" s="42">
        <f>IslandModel_1000P[[#This Row],[Input 9]]</f>
        <v>0</v>
      </c>
      <c r="DF120" s="42">
        <f>-IslandModel_1000P[[#This Row],[Input 9 Consumed]]</f>
        <v>0</v>
      </c>
      <c r="DG120" s="42">
        <f>IslandModel_1000P[[#This Row],[Input 10]]</f>
        <v>0</v>
      </c>
      <c r="DH120" s="42">
        <f>-IslandModel_1000P[[#This Row],[Input 10 Consumed]]</f>
        <v>0</v>
      </c>
    </row>
    <row r="121" spans="29:118" ht="21" x14ac:dyDescent="0.65">
      <c r="AC121" s="103" t="s">
        <v>652</v>
      </c>
      <c r="AD121" s="83">
        <f>ROW()</f>
        <v>121</v>
      </c>
      <c r="AE121" s="74">
        <v>2</v>
      </c>
      <c r="AF121" s="72" t="s">
        <v>876</v>
      </c>
      <c r="AG121" s="18"/>
      <c r="AH121" s="74">
        <v>2</v>
      </c>
      <c r="AI121" s="157">
        <f>IFERROR(IslandModel_1000P[[#This Row],[Quantity]]/IslandModel_1000P[[#This Row],[Target Quantity]],0)</f>
        <v>1</v>
      </c>
      <c r="AJ121" s="61" t="str">
        <f>IFERROR(INDEX(Production[Resource Produced],MATCH(IslandModel_1000P[[#This Row],[Building]],Production[Building],0)),"")</f>
        <v>Horse</v>
      </c>
      <c r="AK121" s="99">
        <f>IFERROR(IslandModel_1000P[[#This Row],[Quantity]]*INDEX(Production[Production in 1h],MATCH(IslandModel_1000P[[#This Row],[Building]],Production[Building],0))*IslandModel_1000P[[#This Row],[Input Consumption Multiplier]],0)</f>
        <v>20</v>
      </c>
      <c r="AL121" s="115">
        <f>100%</f>
        <v>1</v>
      </c>
      <c r="AM121"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21" s="77" t="str">
        <f>IFERROR(INDEX(Production[Input 1],MATCH(IslandModel_1000P[[#This Row],[Building]],Production[Building],0)),"")</f>
        <v>Land tile</v>
      </c>
      <c r="AO121" s="78"/>
      <c r="AP121"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v>
      </c>
      <c r="AQ121"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754.10416666666652</v>
      </c>
      <c r="AR121"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v>
      </c>
      <c r="AS121" s="35" t="str">
        <f>IFERROR(INDEX(Production[Input 2],MATCH(IslandModel_1000P[[#This Row],[Building]],Production[Building],0)),"")</f>
        <v>Horse Field</v>
      </c>
      <c r="AT121" s="78"/>
      <c r="AU121"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40</v>
      </c>
      <c r="AV121"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40</v>
      </c>
      <c r="AW121"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40</v>
      </c>
      <c r="AX121" s="35">
        <f>IFERROR(INDEX(Production[Input 3],MATCH(IslandModel_1000P[[#This Row],[Building]],Production[Building],0)),"")</f>
        <v>0</v>
      </c>
      <c r="AY121" s="78"/>
      <c r="AZ121"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21"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21"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21" s="35">
        <f>IFERROR(INDEX(Production[Input 4],MATCH(IslandModel_1000P[[#This Row],[Building]],Production[Building],0)),"")</f>
        <v>0</v>
      </c>
      <c r="BD121" s="78"/>
      <c r="BE121"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21"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21"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21" s="35">
        <f>IFERROR(INDEX(Production[Input 5],MATCH(IslandModel_1000P[[#This Row],[Building]],Production[Building],0)),"")</f>
        <v>0</v>
      </c>
      <c r="BI121" s="78"/>
      <c r="BJ121"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21"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21"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21" s="35">
        <f>IFERROR(INDEX(Production[Input 6],MATCH(IslandModel_1000P[[#This Row],[Building]],Production[Building],0)),"")</f>
        <v>0</v>
      </c>
      <c r="BN121" s="78"/>
      <c r="BO121"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21"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21"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21" s="35">
        <f>IFERROR(INDEX(Production[Input 7],MATCH(IslandModel_1000P[[#This Row],[Building]],Production[Building],0)),"")</f>
        <v>0</v>
      </c>
      <c r="BS121" s="78"/>
      <c r="BT121"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21"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21"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21" s="35">
        <f>IFERROR(INDEX(Production[Input 8],MATCH(IslandModel_1000P[[#This Row],[Building]],Production[Building],0)),"")</f>
        <v>0</v>
      </c>
      <c r="BX121" s="78"/>
      <c r="BY121"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21"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21"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21" s="35">
        <f>IFERROR(INDEX(Production[Input 9],MATCH(IslandModel_1000P[[#This Row],[Building]],Production[Building],0)),"")</f>
        <v>0</v>
      </c>
      <c r="CC121" s="78"/>
      <c r="CD121"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21"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21"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21" s="35">
        <f>IFERROR(INDEX(Production[Input 10],MATCH(IslandModel_1000P[[#This Row],[Building]],Production[Building],0)),"")</f>
        <v>0</v>
      </c>
      <c r="CH121" s="78"/>
      <c r="CI121"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21"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21"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21"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21" s="82" t="str">
        <f>IslandModel_1000P[[#This Row],[Resource Produced]]</f>
        <v>Horse</v>
      </c>
      <c r="CN121" s="42">
        <f>IslandModel_1000P[[#This Row],[Amount produced/h]]</f>
        <v>20</v>
      </c>
      <c r="CO121" s="42" t="str">
        <f>IslandModel_1000P[[#This Row],[Input 1]]</f>
        <v>Land tile</v>
      </c>
      <c r="CP121" s="42">
        <f>-IslandModel_1000P[[#This Row],[Input 1 Consumed]]</f>
        <v>-2</v>
      </c>
      <c r="CQ121" s="42" t="str">
        <f>IslandModel_1000P[[#This Row],[Input 2]]</f>
        <v>Horse Field</v>
      </c>
      <c r="CR121" s="42">
        <f>-IslandModel_1000P[[#This Row],[Input 2 Consumed]]</f>
        <v>-40</v>
      </c>
      <c r="CS121" s="42">
        <f>IslandModel_1000P[[#This Row],[Input 3]]</f>
        <v>0</v>
      </c>
      <c r="CT121" s="42">
        <f>-IslandModel_1000P[[#This Row],[Input 3 Consumed]]</f>
        <v>0</v>
      </c>
      <c r="CU121" s="42">
        <f>IslandModel_1000P[[#This Row],[Input 4]]</f>
        <v>0</v>
      </c>
      <c r="CV121" s="42">
        <f>-IslandModel_1000P[[#This Row],[Input 4 Consumed]]</f>
        <v>0</v>
      </c>
      <c r="CW121" s="42">
        <f>IslandModel_1000P[[#This Row],[Input 5]]</f>
        <v>0</v>
      </c>
      <c r="CX121" s="42">
        <f>-IslandModel_1000P[[#This Row],[Input 5 Consumed]]</f>
        <v>0</v>
      </c>
      <c r="CY121" s="42">
        <f>IslandModel_1000P[[#This Row],[Input 6]]</f>
        <v>0</v>
      </c>
      <c r="CZ121" s="42">
        <f>-IslandModel_1000P[[#This Row],[Input 6 Consumed]]</f>
        <v>0</v>
      </c>
      <c r="DA121" s="42">
        <f>IslandModel_1000P[[#This Row],[Input 7]]</f>
        <v>0</v>
      </c>
      <c r="DB121" s="42">
        <f>-IslandModel_1000P[[#This Row],[Input 7 Consumed]]</f>
        <v>0</v>
      </c>
      <c r="DC121" s="42">
        <f>IslandModel_1000P[[#This Row],[Input 8]]</f>
        <v>0</v>
      </c>
      <c r="DD121" s="42">
        <f>-IslandModel_1000P[[#This Row],[Input 8 Consumed]]</f>
        <v>0</v>
      </c>
      <c r="DE121" s="42">
        <f>IslandModel_1000P[[#This Row],[Input 9]]</f>
        <v>0</v>
      </c>
      <c r="DF121" s="42">
        <f>-IslandModel_1000P[[#This Row],[Input 9 Consumed]]</f>
        <v>0</v>
      </c>
      <c r="DG121" s="42">
        <f>IslandModel_1000P[[#This Row],[Input 10]]</f>
        <v>0</v>
      </c>
      <c r="DH121" s="42">
        <f>-IslandModel_1000P[[#This Row],[Input 10 Consumed]]</f>
        <v>0</v>
      </c>
    </row>
    <row r="122" spans="29:118" ht="21" x14ac:dyDescent="0.65">
      <c r="AC122" s="103" t="s">
        <v>652</v>
      </c>
      <c r="AD122" s="83">
        <f>ROW()</f>
        <v>122</v>
      </c>
      <c r="AE122" s="74">
        <v>1</v>
      </c>
      <c r="AF122" s="101" t="s">
        <v>463</v>
      </c>
      <c r="AG122" s="18"/>
      <c r="AH122" s="74">
        <v>1</v>
      </c>
      <c r="AI122" s="157">
        <f>IFERROR(IslandModel_1000P[[#This Row],[Quantity]]/IslandModel_1000P[[#This Row],[Target Quantity]],0)</f>
        <v>1</v>
      </c>
      <c r="AJ122" s="61" t="str">
        <f>IFERROR(INDEX(Production[Resource Produced],MATCH(IslandModel_1000P[[#This Row],[Building]],Production[Building],0)),"")</f>
        <v>Gambling</v>
      </c>
      <c r="AK122" s="99">
        <f>IFERROR(IslandModel_1000P[[#This Row],[Quantity]]*INDEX(Production[Production in 1h],MATCH(IslandModel_1000P[[#This Row],[Building]],Production[Building],0))*IslandModel_1000P[[#This Row],[Input Consumption Multiplier]],0)</f>
        <v>1</v>
      </c>
      <c r="AL122" s="115">
        <f>100%</f>
        <v>1</v>
      </c>
      <c r="AM122"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22" s="77" t="str">
        <f>IFERROR(INDEX(Production[Input 1],MATCH(IslandModel_1000P[[#This Row],[Building]],Production[Building],0)),"")</f>
        <v>Land tile</v>
      </c>
      <c r="AO122" s="78"/>
      <c r="AP122"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v>
      </c>
      <c r="AQ122"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752.10416666666652</v>
      </c>
      <c r="AR122"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v>
      </c>
      <c r="AS122" s="35" t="str">
        <f>IFERROR(INDEX(Production[Input 2],MATCH(IslandModel_1000P[[#This Row],[Building]],Production[Building],0)),"")</f>
        <v>Horse</v>
      </c>
      <c r="AT122" s="78"/>
      <c r="AU122"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20</v>
      </c>
      <c r="AV122"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20</v>
      </c>
      <c r="AW122"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20</v>
      </c>
      <c r="AX122" s="35">
        <f>IFERROR(INDEX(Production[Input 3],MATCH(IslandModel_1000P[[#This Row],[Building]],Production[Building],0)),"")</f>
        <v>0</v>
      </c>
      <c r="AY122" s="78"/>
      <c r="AZ122"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22"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22"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22" s="35">
        <f>IFERROR(INDEX(Production[Input 4],MATCH(IslandModel_1000P[[#This Row],[Building]],Production[Building],0)),"")</f>
        <v>0</v>
      </c>
      <c r="BD122" s="78"/>
      <c r="BE122"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22"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22"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22" s="35">
        <f>IFERROR(INDEX(Production[Input 5],MATCH(IslandModel_1000P[[#This Row],[Building]],Production[Building],0)),"")</f>
        <v>0</v>
      </c>
      <c r="BI122" s="78"/>
      <c r="BJ122"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22"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22"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22" s="35">
        <f>IFERROR(INDEX(Production[Input 6],MATCH(IslandModel_1000P[[#This Row],[Building]],Production[Building],0)),"")</f>
        <v>0</v>
      </c>
      <c r="BN122" s="78"/>
      <c r="BO122"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22"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22"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22" s="35">
        <f>IFERROR(INDEX(Production[Input 7],MATCH(IslandModel_1000P[[#This Row],[Building]],Production[Building],0)),"")</f>
        <v>0</v>
      </c>
      <c r="BS122" s="78"/>
      <c r="BT122"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22"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22"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22" s="35">
        <f>IFERROR(INDEX(Production[Input 8],MATCH(IslandModel_1000P[[#This Row],[Building]],Production[Building],0)),"")</f>
        <v>0</v>
      </c>
      <c r="BX122" s="78"/>
      <c r="BY122"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22"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22"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22" s="35">
        <f>IFERROR(INDEX(Production[Input 9],MATCH(IslandModel_1000P[[#This Row],[Building]],Production[Building],0)),"")</f>
        <v>0</v>
      </c>
      <c r="CC122" s="78"/>
      <c r="CD122"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22"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22"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22" s="35">
        <f>IFERROR(INDEX(Production[Input 10],MATCH(IslandModel_1000P[[#This Row],[Building]],Production[Building],0)),"")</f>
        <v>0</v>
      </c>
      <c r="CH122" s="78"/>
      <c r="CI122"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22"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22"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22"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22" s="82" t="str">
        <f>IslandModel_1000P[[#This Row],[Resource Produced]]</f>
        <v>Gambling</v>
      </c>
      <c r="CN122" s="42">
        <f>IslandModel_1000P[[#This Row],[Amount produced/h]]</f>
        <v>1</v>
      </c>
      <c r="CO122" s="42" t="str">
        <f>IslandModel_1000P[[#This Row],[Input 1]]</f>
        <v>Land tile</v>
      </c>
      <c r="CP122" s="42">
        <f>-IslandModel_1000P[[#This Row],[Input 1 Consumed]]</f>
        <v>-1</v>
      </c>
      <c r="CQ122" s="42" t="str">
        <f>IslandModel_1000P[[#This Row],[Input 2]]</f>
        <v>Horse</v>
      </c>
      <c r="CR122" s="42">
        <f>-IslandModel_1000P[[#This Row],[Input 2 Consumed]]</f>
        <v>-20</v>
      </c>
      <c r="CS122" s="42">
        <f>IslandModel_1000P[[#This Row],[Input 3]]</f>
        <v>0</v>
      </c>
      <c r="CT122" s="42">
        <f>-IslandModel_1000P[[#This Row],[Input 3 Consumed]]</f>
        <v>0</v>
      </c>
      <c r="CU122" s="42">
        <f>IslandModel_1000P[[#This Row],[Input 4]]</f>
        <v>0</v>
      </c>
      <c r="CV122" s="42">
        <f>-IslandModel_1000P[[#This Row],[Input 4 Consumed]]</f>
        <v>0</v>
      </c>
      <c r="CW122" s="42">
        <f>IslandModel_1000P[[#This Row],[Input 5]]</f>
        <v>0</v>
      </c>
      <c r="CX122" s="42">
        <f>-IslandModel_1000P[[#This Row],[Input 5 Consumed]]</f>
        <v>0</v>
      </c>
      <c r="CY122" s="42">
        <f>IslandModel_1000P[[#This Row],[Input 6]]</f>
        <v>0</v>
      </c>
      <c r="CZ122" s="42">
        <f>-IslandModel_1000P[[#This Row],[Input 6 Consumed]]</f>
        <v>0</v>
      </c>
      <c r="DA122" s="42">
        <f>IslandModel_1000P[[#This Row],[Input 7]]</f>
        <v>0</v>
      </c>
      <c r="DB122" s="42">
        <f>-IslandModel_1000P[[#This Row],[Input 7 Consumed]]</f>
        <v>0</v>
      </c>
      <c r="DC122" s="42">
        <f>IslandModel_1000P[[#This Row],[Input 8]]</f>
        <v>0</v>
      </c>
      <c r="DD122" s="42">
        <f>-IslandModel_1000P[[#This Row],[Input 8 Consumed]]</f>
        <v>0</v>
      </c>
      <c r="DE122" s="42">
        <f>IslandModel_1000P[[#This Row],[Input 9]]</f>
        <v>0</v>
      </c>
      <c r="DF122" s="42">
        <f>-IslandModel_1000P[[#This Row],[Input 9 Consumed]]</f>
        <v>0</v>
      </c>
      <c r="DG122" s="42">
        <f>IslandModel_1000P[[#This Row],[Input 10]]</f>
        <v>0</v>
      </c>
      <c r="DH122" s="42">
        <f>-IslandModel_1000P[[#This Row],[Input 10 Consumed]]</f>
        <v>0</v>
      </c>
    </row>
    <row r="123" spans="29:118" ht="21" x14ac:dyDescent="0.65">
      <c r="AC123" s="103" t="s">
        <v>464</v>
      </c>
      <c r="AD123" s="83">
        <f>ROW()</f>
        <v>123</v>
      </c>
      <c r="AE123" s="74">
        <v>4</v>
      </c>
      <c r="AF123" s="50" t="s">
        <v>50</v>
      </c>
      <c r="AG123" s="18"/>
      <c r="AH123" s="74">
        <v>4</v>
      </c>
      <c r="AI123" s="157">
        <f>IFERROR(IslandModel_1000P[[#This Row],[Quantity]]/IslandModel_1000P[[#This Row],[Target Quantity]],0)</f>
        <v>1</v>
      </c>
      <c r="AJ123" s="61" t="str">
        <f>IFERROR(INDEX(Production[Resource Produced],MATCH(IslandModel_1000P[[#This Row],[Building]],Production[Building],0)),"")</f>
        <v>Wood</v>
      </c>
      <c r="AK123" s="99">
        <f>IFERROR(IslandModel_1000P[[#This Row],[Quantity]]*INDEX(Production[Production in 1h],MATCH(IslandModel_1000P[[#This Row],[Building]],Production[Building],0))*IslandModel_1000P[[#This Row],[Input Consumption Multiplier]],0)</f>
        <v>1200</v>
      </c>
      <c r="AL123" s="115">
        <f>100%</f>
        <v>1</v>
      </c>
      <c r="AM123"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23" s="77" t="str">
        <f>IFERROR(INDEX(Production[Input 1],MATCH(IslandModel_1000P[[#This Row],[Building]],Production[Building],0)),"")</f>
        <v>Land tile</v>
      </c>
      <c r="AO123" s="78"/>
      <c r="AP123"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28</v>
      </c>
      <c r="AQ123"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751.10416666666652</v>
      </c>
      <c r="AR123"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28</v>
      </c>
      <c r="AS123" s="35">
        <f>IFERROR(INDEX(Production[Input 2],MATCH(IslandModel_1000P[[#This Row],[Building]],Production[Building],0)),"")</f>
        <v>0</v>
      </c>
      <c r="AT123" s="78"/>
      <c r="AU123"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23"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23"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23" s="35">
        <f>IFERROR(INDEX(Production[Input 3],MATCH(IslandModel_1000P[[#This Row],[Building]],Production[Building],0)),"")</f>
        <v>0</v>
      </c>
      <c r="AY123" s="78"/>
      <c r="AZ123"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23"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23"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23" s="35">
        <f>IFERROR(INDEX(Production[Input 4],MATCH(IslandModel_1000P[[#This Row],[Building]],Production[Building],0)),"")</f>
        <v>0</v>
      </c>
      <c r="BD123" s="78"/>
      <c r="BE123"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23"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23"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23" s="35">
        <f>IFERROR(INDEX(Production[Input 5],MATCH(IslandModel_1000P[[#This Row],[Building]],Production[Building],0)),"")</f>
        <v>0</v>
      </c>
      <c r="BI123" s="78"/>
      <c r="BJ123"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23"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23"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23" s="35">
        <f>IFERROR(INDEX(Production[Input 6],MATCH(IslandModel_1000P[[#This Row],[Building]],Production[Building],0)),"")</f>
        <v>0</v>
      </c>
      <c r="BN123" s="78"/>
      <c r="BO123"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23"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23"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23" s="35">
        <f>IFERROR(INDEX(Production[Input 7],MATCH(IslandModel_1000P[[#This Row],[Building]],Production[Building],0)),"")</f>
        <v>0</v>
      </c>
      <c r="BS123" s="78"/>
      <c r="BT123"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23"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23"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23" s="35">
        <f>IFERROR(INDEX(Production[Input 8],MATCH(IslandModel_1000P[[#This Row],[Building]],Production[Building],0)),"")</f>
        <v>0</v>
      </c>
      <c r="BX123" s="78"/>
      <c r="BY123"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23"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23"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23" s="35">
        <f>IFERROR(INDEX(Production[Input 9],MATCH(IslandModel_1000P[[#This Row],[Building]],Production[Building],0)),"")</f>
        <v>0</v>
      </c>
      <c r="CC123" s="78"/>
      <c r="CD123"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23"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23"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23" s="35">
        <f>IFERROR(INDEX(Production[Input 10],MATCH(IslandModel_1000P[[#This Row],[Building]],Production[Building],0)),"")</f>
        <v>0</v>
      </c>
      <c r="CH123" s="78"/>
      <c r="CI123"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23"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23"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23"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23" s="82" t="str">
        <f>IslandModel_1000P[[#This Row],[Resource Produced]]</f>
        <v>Wood</v>
      </c>
      <c r="CN123" s="42">
        <f>IslandModel_1000P[[#This Row],[Amount produced/h]]</f>
        <v>1200</v>
      </c>
      <c r="CO123" s="42" t="str">
        <f>IslandModel_1000P[[#This Row],[Input 1]]</f>
        <v>Land tile</v>
      </c>
      <c r="CP123" s="42">
        <f>-IslandModel_1000P[[#This Row],[Input 1 Consumed]]</f>
        <v>-28</v>
      </c>
      <c r="CQ123" s="42">
        <f>IslandModel_1000P[[#This Row],[Input 2]]</f>
        <v>0</v>
      </c>
      <c r="CR123" s="42">
        <f>-IslandModel_1000P[[#This Row],[Input 2 Consumed]]</f>
        <v>0</v>
      </c>
      <c r="CS123" s="42">
        <f>IslandModel_1000P[[#This Row],[Input 3]]</f>
        <v>0</v>
      </c>
      <c r="CT123" s="42">
        <f>-IslandModel_1000P[[#This Row],[Input 3 Consumed]]</f>
        <v>0</v>
      </c>
      <c r="CU123" s="42">
        <f>IslandModel_1000P[[#This Row],[Input 4]]</f>
        <v>0</v>
      </c>
      <c r="CV123" s="42">
        <f>-IslandModel_1000P[[#This Row],[Input 4 Consumed]]</f>
        <v>0</v>
      </c>
      <c r="CW123" s="42">
        <f>IslandModel_1000P[[#This Row],[Input 5]]</f>
        <v>0</v>
      </c>
      <c r="CX123" s="42">
        <f>-IslandModel_1000P[[#This Row],[Input 5 Consumed]]</f>
        <v>0</v>
      </c>
      <c r="CY123" s="42">
        <f>IslandModel_1000P[[#This Row],[Input 6]]</f>
        <v>0</v>
      </c>
      <c r="CZ123" s="42">
        <f>-IslandModel_1000P[[#This Row],[Input 6 Consumed]]</f>
        <v>0</v>
      </c>
      <c r="DA123" s="42">
        <f>IslandModel_1000P[[#This Row],[Input 7]]</f>
        <v>0</v>
      </c>
      <c r="DB123" s="42">
        <f>-IslandModel_1000P[[#This Row],[Input 7 Consumed]]</f>
        <v>0</v>
      </c>
      <c r="DC123" s="42">
        <f>IslandModel_1000P[[#This Row],[Input 8]]</f>
        <v>0</v>
      </c>
      <c r="DD123" s="42">
        <f>-IslandModel_1000P[[#This Row],[Input 8 Consumed]]</f>
        <v>0</v>
      </c>
      <c r="DE123" s="42">
        <f>IslandModel_1000P[[#This Row],[Input 9]]</f>
        <v>0</v>
      </c>
      <c r="DF123" s="42">
        <f>-IslandModel_1000P[[#This Row],[Input 9 Consumed]]</f>
        <v>0</v>
      </c>
      <c r="DG123" s="42">
        <f>IslandModel_1000P[[#This Row],[Input 10]]</f>
        <v>0</v>
      </c>
      <c r="DH123" s="42">
        <f>-IslandModel_1000P[[#This Row],[Input 10 Consumed]]</f>
        <v>0</v>
      </c>
    </row>
    <row r="124" spans="29:118" ht="21" x14ac:dyDescent="0.65">
      <c r="AC124" s="103" t="s">
        <v>464</v>
      </c>
      <c r="AD124" s="83">
        <f>ROW()</f>
        <v>124</v>
      </c>
      <c r="AE124" s="74">
        <v>2</v>
      </c>
      <c r="AF124" s="50" t="s">
        <v>439</v>
      </c>
      <c r="AG124" s="18"/>
      <c r="AH124" s="74">
        <v>2</v>
      </c>
      <c r="AI124" s="157">
        <f>IFERROR(IslandModel_1000P[[#This Row],[Quantity]]/IslandModel_1000P[[#This Row],[Target Quantity]],0)</f>
        <v>1</v>
      </c>
      <c r="AJ124" s="61" t="str">
        <f>IFERROR(INDEX(Production[Resource Produced],MATCH(IslandModel_1000P[[#This Row],[Building]],Production[Building],0)),"")</f>
        <v>Paper</v>
      </c>
      <c r="AK124" s="99">
        <f>IFERROR(IslandModel_1000P[[#This Row],[Quantity]]*INDEX(Production[Production in 1h],MATCH(IslandModel_1000P[[#This Row],[Building]],Production[Building],0))*IslandModel_1000P[[#This Row],[Input Consumption Multiplier]],0)</f>
        <v>60</v>
      </c>
      <c r="AL124" s="115">
        <f>100%</f>
        <v>1</v>
      </c>
      <c r="AM124"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24" s="77" t="str">
        <f>IFERROR(INDEX(Production[Input 1],MATCH(IslandModel_1000P[[#This Row],[Building]],Production[Building],0)),"")</f>
        <v>Land tile</v>
      </c>
      <c r="AO124" s="78"/>
      <c r="AP124"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v>
      </c>
      <c r="AQ124"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723.10416666666652</v>
      </c>
      <c r="AR124"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v>
      </c>
      <c r="AS124" s="35" t="str">
        <f>IFERROR(INDEX(Production[Input 2],MATCH(IslandModel_1000P[[#This Row],[Building]],Production[Building],0)),"")</f>
        <v>Wood</v>
      </c>
      <c r="AT124" s="78"/>
      <c r="AU124"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960</v>
      </c>
      <c r="AV124"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1425</v>
      </c>
      <c r="AW124"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960</v>
      </c>
      <c r="AX124" s="35">
        <f>IFERROR(INDEX(Production[Input 3],MATCH(IslandModel_1000P[[#This Row],[Building]],Production[Building],0)),"")</f>
        <v>0</v>
      </c>
      <c r="AY124" s="78"/>
      <c r="AZ124"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24"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24"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24" s="35">
        <f>IFERROR(INDEX(Production[Input 4],MATCH(IslandModel_1000P[[#This Row],[Building]],Production[Building],0)),"")</f>
        <v>0</v>
      </c>
      <c r="BD124" s="78"/>
      <c r="BE124"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24"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24"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24" s="35">
        <f>IFERROR(INDEX(Production[Input 5],MATCH(IslandModel_1000P[[#This Row],[Building]],Production[Building],0)),"")</f>
        <v>0</v>
      </c>
      <c r="BI124" s="78"/>
      <c r="BJ124"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24"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24"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24" s="35">
        <f>IFERROR(INDEX(Production[Input 6],MATCH(IslandModel_1000P[[#This Row],[Building]],Production[Building],0)),"")</f>
        <v>0</v>
      </c>
      <c r="BN124" s="78"/>
      <c r="BO124"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24"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24"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24" s="35">
        <f>IFERROR(INDEX(Production[Input 7],MATCH(IslandModel_1000P[[#This Row],[Building]],Production[Building],0)),"")</f>
        <v>0</v>
      </c>
      <c r="BS124" s="78"/>
      <c r="BT124"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24"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24"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24" s="35">
        <f>IFERROR(INDEX(Production[Input 8],MATCH(IslandModel_1000P[[#This Row],[Building]],Production[Building],0)),"")</f>
        <v>0</v>
      </c>
      <c r="BX124" s="78"/>
      <c r="BY124"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24"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24"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24" s="35">
        <f>IFERROR(INDEX(Production[Input 9],MATCH(IslandModel_1000P[[#This Row],[Building]],Production[Building],0)),"")</f>
        <v>0</v>
      </c>
      <c r="CC124" s="78"/>
      <c r="CD124"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24"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24"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24" s="35">
        <f>IFERROR(INDEX(Production[Input 10],MATCH(IslandModel_1000P[[#This Row],[Building]],Production[Building],0)),"")</f>
        <v>0</v>
      </c>
      <c r="CH124" s="78"/>
      <c r="CI124"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24"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24"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24"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24" s="82" t="str">
        <f>IslandModel_1000P[[#This Row],[Resource Produced]]</f>
        <v>Paper</v>
      </c>
      <c r="CN124" s="42">
        <f>IslandModel_1000P[[#This Row],[Amount produced/h]]</f>
        <v>60</v>
      </c>
      <c r="CO124" s="42" t="str">
        <f>IslandModel_1000P[[#This Row],[Input 1]]</f>
        <v>Land tile</v>
      </c>
      <c r="CP124" s="42">
        <f>-IslandModel_1000P[[#This Row],[Input 1 Consumed]]</f>
        <v>-2</v>
      </c>
      <c r="CQ124" s="42" t="str">
        <f>IslandModel_1000P[[#This Row],[Input 2]]</f>
        <v>Wood</v>
      </c>
      <c r="CR124" s="42">
        <f>-IslandModel_1000P[[#This Row],[Input 2 Consumed]]</f>
        <v>-960</v>
      </c>
      <c r="CS124" s="42">
        <f>IslandModel_1000P[[#This Row],[Input 3]]</f>
        <v>0</v>
      </c>
      <c r="CT124" s="42">
        <f>-IslandModel_1000P[[#This Row],[Input 3 Consumed]]</f>
        <v>0</v>
      </c>
      <c r="CU124" s="42">
        <f>IslandModel_1000P[[#This Row],[Input 4]]</f>
        <v>0</v>
      </c>
      <c r="CV124" s="42">
        <f>-IslandModel_1000P[[#This Row],[Input 4 Consumed]]</f>
        <v>0</v>
      </c>
      <c r="CW124" s="42">
        <f>IslandModel_1000P[[#This Row],[Input 5]]</f>
        <v>0</v>
      </c>
      <c r="CX124" s="42">
        <f>-IslandModel_1000P[[#This Row],[Input 5 Consumed]]</f>
        <v>0</v>
      </c>
      <c r="CY124" s="42">
        <f>IslandModel_1000P[[#This Row],[Input 6]]</f>
        <v>0</v>
      </c>
      <c r="CZ124" s="42">
        <f>-IslandModel_1000P[[#This Row],[Input 6 Consumed]]</f>
        <v>0</v>
      </c>
      <c r="DA124" s="42">
        <f>IslandModel_1000P[[#This Row],[Input 7]]</f>
        <v>0</v>
      </c>
      <c r="DB124" s="42">
        <f>-IslandModel_1000P[[#This Row],[Input 7 Consumed]]</f>
        <v>0</v>
      </c>
      <c r="DC124" s="42">
        <f>IslandModel_1000P[[#This Row],[Input 8]]</f>
        <v>0</v>
      </c>
      <c r="DD124" s="42">
        <f>-IslandModel_1000P[[#This Row],[Input 8 Consumed]]</f>
        <v>0</v>
      </c>
      <c r="DE124" s="42">
        <f>IslandModel_1000P[[#This Row],[Input 9]]</f>
        <v>0</v>
      </c>
      <c r="DF124" s="42">
        <f>-IslandModel_1000P[[#This Row],[Input 9 Consumed]]</f>
        <v>0</v>
      </c>
      <c r="DG124" s="42">
        <f>IslandModel_1000P[[#This Row],[Input 10]]</f>
        <v>0</v>
      </c>
      <c r="DH124" s="42">
        <f>-IslandModel_1000P[[#This Row],[Input 10 Consumed]]</f>
        <v>0</v>
      </c>
    </row>
    <row r="125" spans="29:118" ht="21" x14ac:dyDescent="0.65">
      <c r="AC125" s="103" t="s">
        <v>464</v>
      </c>
      <c r="AD125" s="83">
        <f>ROW()</f>
        <v>125</v>
      </c>
      <c r="AE125" s="198">
        <f>AE126*8</f>
        <v>8</v>
      </c>
      <c r="AF125" s="50" t="s">
        <v>648</v>
      </c>
      <c r="AG125" s="18"/>
      <c r="AH125" s="198">
        <f>AH126*8</f>
        <v>8</v>
      </c>
      <c r="AI125" s="157">
        <f>IFERROR(IslandModel_1000P[[#This Row],[Quantity]]/IslandModel_1000P[[#This Row],[Target Quantity]],0)</f>
        <v>1</v>
      </c>
      <c r="AJ125" s="61" t="str">
        <f>IFERROR(INDEX(Production[Resource Produced],MATCH(IslandModel_1000P[[#This Row],[Building]],Production[Building],0)),"")</f>
        <v>Indigo Field</v>
      </c>
      <c r="AK125" s="99">
        <f>IFERROR(IslandModel_1000P[[#This Row],[Quantity]]*INDEX(Production[Production in 1h],MATCH(IslandModel_1000P[[#This Row],[Building]],Production[Building],0))*IslandModel_1000P[[#This Row],[Input Consumption Multiplier]],0)</f>
        <v>8</v>
      </c>
      <c r="AL125" s="115">
        <f>100%</f>
        <v>1</v>
      </c>
      <c r="AM125"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25" s="77" t="str">
        <f>IFERROR(INDEX(Production[Input 1],MATCH(IslandModel_1000P[[#This Row],[Building]],Production[Building],0)),"")</f>
        <v>Land tile</v>
      </c>
      <c r="AO125" s="78"/>
      <c r="AP125"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8</v>
      </c>
      <c r="AQ125"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721.10416666666652</v>
      </c>
      <c r="AR125"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8</v>
      </c>
      <c r="AS125" s="35">
        <f>IFERROR(INDEX(Production[Input 2],MATCH(IslandModel_1000P[[#This Row],[Building]],Production[Building],0)),"")</f>
        <v>0</v>
      </c>
      <c r="AT125" s="78"/>
      <c r="AU125"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25"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25"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25" s="35">
        <f>IFERROR(INDEX(Production[Input 3],MATCH(IslandModel_1000P[[#This Row],[Building]],Production[Building],0)),"")</f>
        <v>0</v>
      </c>
      <c r="AY125" s="78"/>
      <c r="AZ125"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25"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25"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25" s="35">
        <f>IFERROR(INDEX(Production[Input 4],MATCH(IslandModel_1000P[[#This Row],[Building]],Production[Building],0)),"")</f>
        <v>0</v>
      </c>
      <c r="BD125" s="78"/>
      <c r="BE125"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25"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25"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25" s="35">
        <f>IFERROR(INDEX(Production[Input 5],MATCH(IslandModel_1000P[[#This Row],[Building]],Production[Building],0)),"")</f>
        <v>0</v>
      </c>
      <c r="BI125" s="78"/>
      <c r="BJ125"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25"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25"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25" s="35">
        <f>IFERROR(INDEX(Production[Input 6],MATCH(IslandModel_1000P[[#This Row],[Building]],Production[Building],0)),"")</f>
        <v>0</v>
      </c>
      <c r="BN125" s="78"/>
      <c r="BO125"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25"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25"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25" s="35">
        <f>IFERROR(INDEX(Production[Input 7],MATCH(IslandModel_1000P[[#This Row],[Building]],Production[Building],0)),"")</f>
        <v>0</v>
      </c>
      <c r="BS125" s="78"/>
      <c r="BT125"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25"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25"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25" s="35">
        <f>IFERROR(INDEX(Production[Input 8],MATCH(IslandModel_1000P[[#This Row],[Building]],Production[Building],0)),"")</f>
        <v>0</v>
      </c>
      <c r="BX125" s="78"/>
      <c r="BY125"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25"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25"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25" s="35">
        <f>IFERROR(INDEX(Production[Input 9],MATCH(IslandModel_1000P[[#This Row],[Building]],Production[Building],0)),"")</f>
        <v>0</v>
      </c>
      <c r="CC125" s="78"/>
      <c r="CD125"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25"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25"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25" s="35">
        <f>IFERROR(INDEX(Production[Input 10],MATCH(IslandModel_1000P[[#This Row],[Building]],Production[Building],0)),"")</f>
        <v>0</v>
      </c>
      <c r="CH125" s="78"/>
      <c r="CI125"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25"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25"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25"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25" s="82" t="str">
        <f>IslandModel_1000P[[#This Row],[Resource Produced]]</f>
        <v>Indigo Field</v>
      </c>
      <c r="CN125" s="42">
        <f>IslandModel_1000P[[#This Row],[Amount produced/h]]</f>
        <v>8</v>
      </c>
      <c r="CO125" s="42" t="str">
        <f>IslandModel_1000P[[#This Row],[Input 1]]</f>
        <v>Land tile</v>
      </c>
      <c r="CP125" s="42">
        <f>-IslandModel_1000P[[#This Row],[Input 1 Consumed]]</f>
        <v>-8</v>
      </c>
      <c r="CQ125" s="42">
        <f>IslandModel_1000P[[#This Row],[Input 2]]</f>
        <v>0</v>
      </c>
      <c r="CR125" s="42">
        <f>-IslandModel_1000P[[#This Row],[Input 2 Consumed]]</f>
        <v>0</v>
      </c>
      <c r="CS125" s="42">
        <f>IslandModel_1000P[[#This Row],[Input 3]]</f>
        <v>0</v>
      </c>
      <c r="CT125" s="42">
        <f>-IslandModel_1000P[[#This Row],[Input 3 Consumed]]</f>
        <v>0</v>
      </c>
      <c r="CU125" s="42">
        <f>IslandModel_1000P[[#This Row],[Input 4]]</f>
        <v>0</v>
      </c>
      <c r="CV125" s="42">
        <f>-IslandModel_1000P[[#This Row],[Input 4 Consumed]]</f>
        <v>0</v>
      </c>
      <c r="CW125" s="42">
        <f>IslandModel_1000P[[#This Row],[Input 5]]</f>
        <v>0</v>
      </c>
      <c r="CX125" s="42">
        <f>-IslandModel_1000P[[#This Row],[Input 5 Consumed]]</f>
        <v>0</v>
      </c>
      <c r="CY125" s="42">
        <f>IslandModel_1000P[[#This Row],[Input 6]]</f>
        <v>0</v>
      </c>
      <c r="CZ125" s="42">
        <f>-IslandModel_1000P[[#This Row],[Input 6 Consumed]]</f>
        <v>0</v>
      </c>
      <c r="DA125" s="42">
        <f>IslandModel_1000P[[#This Row],[Input 7]]</f>
        <v>0</v>
      </c>
      <c r="DB125" s="42">
        <f>-IslandModel_1000P[[#This Row],[Input 7 Consumed]]</f>
        <v>0</v>
      </c>
      <c r="DC125" s="42">
        <f>IslandModel_1000P[[#This Row],[Input 8]]</f>
        <v>0</v>
      </c>
      <c r="DD125" s="42">
        <f>-IslandModel_1000P[[#This Row],[Input 8 Consumed]]</f>
        <v>0</v>
      </c>
      <c r="DE125" s="42">
        <f>IslandModel_1000P[[#This Row],[Input 9]]</f>
        <v>0</v>
      </c>
      <c r="DF125" s="42">
        <f>-IslandModel_1000P[[#This Row],[Input 9 Consumed]]</f>
        <v>0</v>
      </c>
      <c r="DG125" s="42">
        <f>IslandModel_1000P[[#This Row],[Input 10]]</f>
        <v>0</v>
      </c>
      <c r="DH125" s="42">
        <f>-IslandModel_1000P[[#This Row],[Input 10 Consumed]]</f>
        <v>0</v>
      </c>
    </row>
    <row r="126" spans="29:118" ht="21" x14ac:dyDescent="0.65">
      <c r="AC126" s="103" t="s">
        <v>464</v>
      </c>
      <c r="AD126" s="83">
        <f>ROW()</f>
        <v>126</v>
      </c>
      <c r="AE126" s="74">
        <v>1</v>
      </c>
      <c r="AF126" s="50" t="s">
        <v>417</v>
      </c>
      <c r="AG126" s="18"/>
      <c r="AH126" s="74">
        <v>1</v>
      </c>
      <c r="AI126" s="157">
        <f>IFERROR(IslandModel_1000P[[#This Row],[Quantity]]/IslandModel_1000P[[#This Row],[Target Quantity]],0)</f>
        <v>1</v>
      </c>
      <c r="AJ126" s="61" t="str">
        <f>IFERROR(INDEX(Production[Resource Produced],MATCH(IslandModel_1000P[[#This Row],[Building]],Production[Building],0)),"")</f>
        <v>Dye</v>
      </c>
      <c r="AK126" s="99">
        <f>IFERROR(IslandModel_1000P[[#This Row],[Quantity]]*INDEX(Production[Production in 1h],MATCH(IslandModel_1000P[[#This Row],[Building]],Production[Building],0))*IslandModel_1000P[[#This Row],[Input Consumption Multiplier]],0)</f>
        <v>30</v>
      </c>
      <c r="AL126" s="115">
        <f>100%</f>
        <v>1</v>
      </c>
      <c r="AM126"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26" s="77" t="str">
        <f>IFERROR(INDEX(Production[Input 1],MATCH(IslandModel_1000P[[#This Row],[Building]],Production[Building],0)),"")</f>
        <v>Land tile</v>
      </c>
      <c r="AO126" s="78"/>
      <c r="AP126"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v>
      </c>
      <c r="AQ126"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713.10416666666652</v>
      </c>
      <c r="AR126"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v>
      </c>
      <c r="AS126" s="35" t="str">
        <f>IFERROR(INDEX(Production[Input 2],MATCH(IslandModel_1000P[[#This Row],[Building]],Production[Building],0)),"")</f>
        <v>Indigo Field</v>
      </c>
      <c r="AT126" s="78"/>
      <c r="AU126"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8</v>
      </c>
      <c r="AV126"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8</v>
      </c>
      <c r="AW126"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8</v>
      </c>
      <c r="AX126" s="35">
        <f>IFERROR(INDEX(Production[Input 3],MATCH(IslandModel_1000P[[#This Row],[Building]],Production[Building],0)),"")</f>
        <v>0</v>
      </c>
      <c r="AY126" s="78"/>
      <c r="AZ126"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26"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26"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26" s="35">
        <f>IFERROR(INDEX(Production[Input 4],MATCH(IslandModel_1000P[[#This Row],[Building]],Production[Building],0)),"")</f>
        <v>0</v>
      </c>
      <c r="BD126" s="78"/>
      <c r="BE126"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26"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26"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26" s="35">
        <f>IFERROR(INDEX(Production[Input 5],MATCH(IslandModel_1000P[[#This Row],[Building]],Production[Building],0)),"")</f>
        <v>0</v>
      </c>
      <c r="BI126" s="78"/>
      <c r="BJ126"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26"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26"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26" s="35">
        <f>IFERROR(INDEX(Production[Input 6],MATCH(IslandModel_1000P[[#This Row],[Building]],Production[Building],0)),"")</f>
        <v>0</v>
      </c>
      <c r="BN126" s="78"/>
      <c r="BO126"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26"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26"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26" s="35">
        <f>IFERROR(INDEX(Production[Input 7],MATCH(IslandModel_1000P[[#This Row],[Building]],Production[Building],0)),"")</f>
        <v>0</v>
      </c>
      <c r="BS126" s="78"/>
      <c r="BT126"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26"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26"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26" s="35">
        <f>IFERROR(INDEX(Production[Input 8],MATCH(IslandModel_1000P[[#This Row],[Building]],Production[Building],0)),"")</f>
        <v>0</v>
      </c>
      <c r="BX126" s="78"/>
      <c r="BY126"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26"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26"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26" s="35">
        <f>IFERROR(INDEX(Production[Input 9],MATCH(IslandModel_1000P[[#This Row],[Building]],Production[Building],0)),"")</f>
        <v>0</v>
      </c>
      <c r="CC126" s="78"/>
      <c r="CD126"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26"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26"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26" s="35">
        <f>IFERROR(INDEX(Production[Input 10],MATCH(IslandModel_1000P[[#This Row],[Building]],Production[Building],0)),"")</f>
        <v>0</v>
      </c>
      <c r="CH126" s="78"/>
      <c r="CI126"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26"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26"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26"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26" s="82" t="str">
        <f>IslandModel_1000P[[#This Row],[Resource Produced]]</f>
        <v>Dye</v>
      </c>
      <c r="CN126" s="42">
        <f>IslandModel_1000P[[#This Row],[Amount produced/h]]</f>
        <v>30</v>
      </c>
      <c r="CO126" s="42" t="str">
        <f>IslandModel_1000P[[#This Row],[Input 1]]</f>
        <v>Land tile</v>
      </c>
      <c r="CP126" s="42">
        <f>-IslandModel_1000P[[#This Row],[Input 1 Consumed]]</f>
        <v>-1</v>
      </c>
      <c r="CQ126" s="42" t="str">
        <f>IslandModel_1000P[[#This Row],[Input 2]]</f>
        <v>Indigo Field</v>
      </c>
      <c r="CR126" s="42">
        <f>-IslandModel_1000P[[#This Row],[Input 2 Consumed]]</f>
        <v>-8</v>
      </c>
      <c r="CS126" s="42">
        <f>IslandModel_1000P[[#This Row],[Input 3]]</f>
        <v>0</v>
      </c>
      <c r="CT126" s="42">
        <f>-IslandModel_1000P[[#This Row],[Input 3 Consumed]]</f>
        <v>0</v>
      </c>
      <c r="CU126" s="42">
        <f>IslandModel_1000P[[#This Row],[Input 4]]</f>
        <v>0</v>
      </c>
      <c r="CV126" s="42">
        <f>-IslandModel_1000P[[#This Row],[Input 4 Consumed]]</f>
        <v>0</v>
      </c>
      <c r="CW126" s="42">
        <f>IslandModel_1000P[[#This Row],[Input 5]]</f>
        <v>0</v>
      </c>
      <c r="CX126" s="42">
        <f>-IslandModel_1000P[[#This Row],[Input 5 Consumed]]</f>
        <v>0</v>
      </c>
      <c r="CY126" s="42">
        <f>IslandModel_1000P[[#This Row],[Input 6]]</f>
        <v>0</v>
      </c>
      <c r="CZ126" s="42">
        <f>-IslandModel_1000P[[#This Row],[Input 6 Consumed]]</f>
        <v>0</v>
      </c>
      <c r="DA126" s="42">
        <f>IslandModel_1000P[[#This Row],[Input 7]]</f>
        <v>0</v>
      </c>
      <c r="DB126" s="42">
        <f>-IslandModel_1000P[[#This Row],[Input 7 Consumed]]</f>
        <v>0</v>
      </c>
      <c r="DC126" s="42">
        <f>IslandModel_1000P[[#This Row],[Input 8]]</f>
        <v>0</v>
      </c>
      <c r="DD126" s="42">
        <f>-IslandModel_1000P[[#This Row],[Input 8 Consumed]]</f>
        <v>0</v>
      </c>
      <c r="DE126" s="42">
        <f>IslandModel_1000P[[#This Row],[Input 9]]</f>
        <v>0</v>
      </c>
      <c r="DF126" s="42">
        <f>-IslandModel_1000P[[#This Row],[Input 9 Consumed]]</f>
        <v>0</v>
      </c>
      <c r="DG126" s="42">
        <f>IslandModel_1000P[[#This Row],[Input 10]]</f>
        <v>0</v>
      </c>
      <c r="DH126" s="42">
        <f>-IslandModel_1000P[[#This Row],[Input 10 Consumed]]</f>
        <v>0</v>
      </c>
    </row>
    <row r="127" spans="29:118" ht="21" x14ac:dyDescent="0.65">
      <c r="AC127" s="103" t="s">
        <v>464</v>
      </c>
      <c r="AD127" s="83">
        <f>ROW()</f>
        <v>127</v>
      </c>
      <c r="AE127" s="74">
        <v>2</v>
      </c>
      <c r="AF127" s="50" t="s">
        <v>440</v>
      </c>
      <c r="AG127" s="18"/>
      <c r="AH127" s="74">
        <v>2</v>
      </c>
      <c r="AI127" s="157">
        <f>IFERROR(IslandModel_1000P[[#This Row],[Quantity]]/IslandModel_1000P[[#This Row],[Target Quantity]],0)</f>
        <v>1</v>
      </c>
      <c r="AJ127" s="61" t="str">
        <f>IFERROR(INDEX(Production[Resource Produced],MATCH(IslandModel_1000P[[#This Row],[Building]],Production[Building],0)),"")</f>
        <v>Book</v>
      </c>
      <c r="AK127" s="99">
        <f>IFERROR(IslandModel_1000P[[#This Row],[Quantity]]*INDEX(Production[Production in 1h],MATCH(IslandModel_1000P[[#This Row],[Building]],Production[Building],0))*IslandModel_1000P[[#This Row],[Input Consumption Multiplier]],0)</f>
        <v>15</v>
      </c>
      <c r="AL127" s="115">
        <f>100%</f>
        <v>1</v>
      </c>
      <c r="AM127"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27" s="77" t="str">
        <f>IFERROR(INDEX(Production[Input 1],MATCH(IslandModel_1000P[[#This Row],[Building]],Production[Building],0)),"")</f>
        <v>Land tile</v>
      </c>
      <c r="AO127" s="78"/>
      <c r="AP127"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v>
      </c>
      <c r="AQ127"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712.10416666666652</v>
      </c>
      <c r="AR127"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v>
      </c>
      <c r="AS127" s="35" t="str">
        <f>IFERROR(INDEX(Production[Input 2],MATCH(IslandModel_1000P[[#This Row],[Building]],Production[Building],0)),"")</f>
        <v>Paper</v>
      </c>
      <c r="AT127" s="78"/>
      <c r="AU127"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60</v>
      </c>
      <c r="AV127"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60</v>
      </c>
      <c r="AW127"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60</v>
      </c>
      <c r="AX127" s="35" t="str">
        <f>IFERROR(INDEX(Production[Input 3],MATCH(IslandModel_1000P[[#This Row],[Building]],Production[Building],0)),"")</f>
        <v>Dye</v>
      </c>
      <c r="AY127" s="78"/>
      <c r="AZ127"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30</v>
      </c>
      <c r="BA127"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31.875</v>
      </c>
      <c r="BB127"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30</v>
      </c>
      <c r="BC127" s="35">
        <f>IFERROR(INDEX(Production[Input 4],MATCH(IslandModel_1000P[[#This Row],[Building]],Production[Building],0)),"")</f>
        <v>0</v>
      </c>
      <c r="BD127" s="78"/>
      <c r="BE127"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27"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27"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27" s="35">
        <f>IFERROR(INDEX(Production[Input 5],MATCH(IslandModel_1000P[[#This Row],[Building]],Production[Building],0)),"")</f>
        <v>0</v>
      </c>
      <c r="BI127" s="78"/>
      <c r="BJ127"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27"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27"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27" s="35">
        <f>IFERROR(INDEX(Production[Input 6],MATCH(IslandModel_1000P[[#This Row],[Building]],Production[Building],0)),"")</f>
        <v>0</v>
      </c>
      <c r="BN127" s="78"/>
      <c r="BO127"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27"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27"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27" s="35">
        <f>IFERROR(INDEX(Production[Input 7],MATCH(IslandModel_1000P[[#This Row],[Building]],Production[Building],0)),"")</f>
        <v>0</v>
      </c>
      <c r="BS127" s="78"/>
      <c r="BT127"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27"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27"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27" s="35">
        <f>IFERROR(INDEX(Production[Input 8],MATCH(IslandModel_1000P[[#This Row],[Building]],Production[Building],0)),"")</f>
        <v>0</v>
      </c>
      <c r="BX127" s="78"/>
      <c r="BY127"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27"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27"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27" s="35">
        <f>IFERROR(INDEX(Production[Input 9],MATCH(IslandModel_1000P[[#This Row],[Building]],Production[Building],0)),"")</f>
        <v>0</v>
      </c>
      <c r="CC127" s="78"/>
      <c r="CD127"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27"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27"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27" s="35">
        <f>IFERROR(INDEX(Production[Input 10],MATCH(IslandModel_1000P[[#This Row],[Building]],Production[Building],0)),"")</f>
        <v>0</v>
      </c>
      <c r="CH127" s="78"/>
      <c r="CI127"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27"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27"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27"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27" s="82" t="str">
        <f>IslandModel_1000P[[#This Row],[Resource Produced]]</f>
        <v>Book</v>
      </c>
      <c r="CN127" s="42">
        <f>IslandModel_1000P[[#This Row],[Amount produced/h]]</f>
        <v>15</v>
      </c>
      <c r="CO127" s="42" t="str">
        <f>IslandModel_1000P[[#This Row],[Input 1]]</f>
        <v>Land tile</v>
      </c>
      <c r="CP127" s="42">
        <f>-IslandModel_1000P[[#This Row],[Input 1 Consumed]]</f>
        <v>-2</v>
      </c>
      <c r="CQ127" s="42" t="str">
        <f>IslandModel_1000P[[#This Row],[Input 2]]</f>
        <v>Paper</v>
      </c>
      <c r="CR127" s="42">
        <f>-IslandModel_1000P[[#This Row],[Input 2 Consumed]]</f>
        <v>-60</v>
      </c>
      <c r="CS127" s="42" t="str">
        <f>IslandModel_1000P[[#This Row],[Input 3]]</f>
        <v>Dye</v>
      </c>
      <c r="CT127" s="42">
        <f>-IslandModel_1000P[[#This Row],[Input 3 Consumed]]</f>
        <v>-30</v>
      </c>
      <c r="CU127" s="42">
        <f>IslandModel_1000P[[#This Row],[Input 4]]</f>
        <v>0</v>
      </c>
      <c r="CV127" s="42">
        <f>-IslandModel_1000P[[#This Row],[Input 4 Consumed]]</f>
        <v>0</v>
      </c>
      <c r="CW127" s="42">
        <f>IslandModel_1000P[[#This Row],[Input 5]]</f>
        <v>0</v>
      </c>
      <c r="CX127" s="42">
        <f>-IslandModel_1000P[[#This Row],[Input 5 Consumed]]</f>
        <v>0</v>
      </c>
      <c r="CY127" s="42">
        <f>IslandModel_1000P[[#This Row],[Input 6]]</f>
        <v>0</v>
      </c>
      <c r="CZ127" s="42">
        <f>-IslandModel_1000P[[#This Row],[Input 6 Consumed]]</f>
        <v>0</v>
      </c>
      <c r="DA127" s="42">
        <f>IslandModel_1000P[[#This Row],[Input 7]]</f>
        <v>0</v>
      </c>
      <c r="DB127" s="42">
        <f>-IslandModel_1000P[[#This Row],[Input 7 Consumed]]</f>
        <v>0</v>
      </c>
      <c r="DC127" s="42">
        <f>IslandModel_1000P[[#This Row],[Input 8]]</f>
        <v>0</v>
      </c>
      <c r="DD127" s="42">
        <f>-IslandModel_1000P[[#This Row],[Input 8 Consumed]]</f>
        <v>0</v>
      </c>
      <c r="DE127" s="42">
        <f>IslandModel_1000P[[#This Row],[Input 9]]</f>
        <v>0</v>
      </c>
      <c r="DF127" s="42">
        <f>-IslandModel_1000P[[#This Row],[Input 9 Consumed]]</f>
        <v>0</v>
      </c>
      <c r="DG127" s="42">
        <f>IslandModel_1000P[[#This Row],[Input 10]]</f>
        <v>0</v>
      </c>
      <c r="DH127" s="42">
        <f>-IslandModel_1000P[[#This Row],[Input 10 Consumed]]</f>
        <v>0</v>
      </c>
    </row>
    <row r="128" spans="29:118" ht="21" x14ac:dyDescent="0.65">
      <c r="AC128" s="103" t="s">
        <v>464</v>
      </c>
      <c r="AD128" s="83">
        <f>ROW()</f>
        <v>128</v>
      </c>
      <c r="AE128" s="74">
        <v>1</v>
      </c>
      <c r="AF128" s="50" t="s">
        <v>464</v>
      </c>
      <c r="AG128" s="101"/>
      <c r="AH128" s="74">
        <v>1</v>
      </c>
      <c r="AI128" s="157">
        <f>IFERROR(IslandModel_1000P[[#This Row],[Quantity]]/IslandModel_1000P[[#This Row],[Target Quantity]],0)</f>
        <v>1</v>
      </c>
      <c r="AJ128" s="61" t="str">
        <f>IFERROR(INDEX(Production[Resource Produced],MATCH(IslandModel_1000P[[#This Row],[Building]],Production[Building],0)),"")</f>
        <v>University</v>
      </c>
      <c r="AK128" s="99">
        <f>IFERROR(IslandModel_1000P[[#This Row],[Quantity]]*INDEX(Production[Production in 1h],MATCH(IslandModel_1000P[[#This Row],[Building]],Production[Building],0))*IslandModel_1000P[[#This Row],[Input Consumption Multiplier]],0)</f>
        <v>1</v>
      </c>
      <c r="AL128" s="115">
        <f>100%</f>
        <v>1</v>
      </c>
      <c r="AM128"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28" s="77" t="str">
        <f>IFERROR(INDEX(Production[Input 1],MATCH(IslandModel_1000P[[#This Row],[Building]],Production[Building],0)),"")</f>
        <v>Land tile</v>
      </c>
      <c r="AO128" s="78"/>
      <c r="AP128"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v>
      </c>
      <c r="AQ128"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710.10416666666652</v>
      </c>
      <c r="AR128"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v>
      </c>
      <c r="AS128" s="35" t="str">
        <f>IFERROR(INDEX(Production[Input 2],MATCH(IslandModel_1000P[[#This Row],[Building]],Production[Building],0)),"")</f>
        <v>Book</v>
      </c>
      <c r="AT128" s="78"/>
      <c r="AU128"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15</v>
      </c>
      <c r="AV128"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15</v>
      </c>
      <c r="AW128"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15</v>
      </c>
      <c r="AX128" s="35">
        <f>IFERROR(INDEX(Production[Input 3],MATCH(IslandModel_1000P[[#This Row],[Building]],Production[Building],0)),"")</f>
        <v>0</v>
      </c>
      <c r="AY128" s="78"/>
      <c r="AZ128"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28"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28"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28" s="35">
        <f>IFERROR(INDEX(Production[Input 4],MATCH(IslandModel_1000P[[#This Row],[Building]],Production[Building],0)),"")</f>
        <v>0</v>
      </c>
      <c r="BD128" s="78"/>
      <c r="BE128"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28"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28"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28" s="35">
        <f>IFERROR(INDEX(Production[Input 5],MATCH(IslandModel_1000P[[#This Row],[Building]],Production[Building],0)),"")</f>
        <v>0</v>
      </c>
      <c r="BI128" s="78"/>
      <c r="BJ128"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28"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28"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28" s="35">
        <f>IFERROR(INDEX(Production[Input 6],MATCH(IslandModel_1000P[[#This Row],[Building]],Production[Building],0)),"")</f>
        <v>0</v>
      </c>
      <c r="BN128" s="78"/>
      <c r="BO128"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28"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28"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28" s="35">
        <f>IFERROR(INDEX(Production[Input 7],MATCH(IslandModel_1000P[[#This Row],[Building]],Production[Building],0)),"")</f>
        <v>0</v>
      </c>
      <c r="BS128" s="78"/>
      <c r="BT128"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28"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28"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28" s="35">
        <f>IFERROR(INDEX(Production[Input 8],MATCH(IslandModel_1000P[[#This Row],[Building]],Production[Building],0)),"")</f>
        <v>0</v>
      </c>
      <c r="BX128" s="78"/>
      <c r="BY128"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28"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28"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28" s="35">
        <f>IFERROR(INDEX(Production[Input 9],MATCH(IslandModel_1000P[[#This Row],[Building]],Production[Building],0)),"")</f>
        <v>0</v>
      </c>
      <c r="CC128" s="78"/>
      <c r="CD128"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28"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28"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28" s="35">
        <f>IFERROR(INDEX(Production[Input 10],MATCH(IslandModel_1000P[[#This Row],[Building]],Production[Building],0)),"")</f>
        <v>0</v>
      </c>
      <c r="CH128" s="78"/>
      <c r="CI128"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28"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28"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28"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28" s="82" t="str">
        <f>IslandModel_1000P[[#This Row],[Resource Produced]]</f>
        <v>University</v>
      </c>
      <c r="CN128" s="42">
        <f>IslandModel_1000P[[#This Row],[Amount produced/h]]</f>
        <v>1</v>
      </c>
      <c r="CO128" s="42" t="str">
        <f>IslandModel_1000P[[#This Row],[Input 1]]</f>
        <v>Land tile</v>
      </c>
      <c r="CP128" s="42">
        <f>-IslandModel_1000P[[#This Row],[Input 1 Consumed]]</f>
        <v>-1</v>
      </c>
      <c r="CQ128" s="42" t="str">
        <f>IslandModel_1000P[[#This Row],[Input 2]]</f>
        <v>Book</v>
      </c>
      <c r="CR128" s="42">
        <f>-IslandModel_1000P[[#This Row],[Input 2 Consumed]]</f>
        <v>-15</v>
      </c>
      <c r="CS128" s="42">
        <f>IslandModel_1000P[[#This Row],[Input 3]]</f>
        <v>0</v>
      </c>
      <c r="CT128" s="42">
        <f>-IslandModel_1000P[[#This Row],[Input 3 Consumed]]</f>
        <v>0</v>
      </c>
      <c r="CU128" s="42">
        <f>IslandModel_1000P[[#This Row],[Input 4]]</f>
        <v>0</v>
      </c>
      <c r="CV128" s="42">
        <f>-IslandModel_1000P[[#This Row],[Input 4 Consumed]]</f>
        <v>0</v>
      </c>
      <c r="CW128" s="42">
        <f>IslandModel_1000P[[#This Row],[Input 5]]</f>
        <v>0</v>
      </c>
      <c r="CX128" s="42">
        <f>-IslandModel_1000P[[#This Row],[Input 5 Consumed]]</f>
        <v>0</v>
      </c>
      <c r="CY128" s="42">
        <f>IslandModel_1000P[[#This Row],[Input 6]]</f>
        <v>0</v>
      </c>
      <c r="CZ128" s="42">
        <f>-IslandModel_1000P[[#This Row],[Input 6 Consumed]]</f>
        <v>0</v>
      </c>
      <c r="DA128" s="42">
        <f>IslandModel_1000P[[#This Row],[Input 7]]</f>
        <v>0</v>
      </c>
      <c r="DB128" s="42">
        <f>-IslandModel_1000P[[#This Row],[Input 7 Consumed]]</f>
        <v>0</v>
      </c>
      <c r="DC128" s="42">
        <f>IslandModel_1000P[[#This Row],[Input 8]]</f>
        <v>0</v>
      </c>
      <c r="DD128" s="42">
        <f>-IslandModel_1000P[[#This Row],[Input 8 Consumed]]</f>
        <v>0</v>
      </c>
      <c r="DE128" s="42">
        <f>IslandModel_1000P[[#This Row],[Input 9]]</f>
        <v>0</v>
      </c>
      <c r="DF128" s="42">
        <f>-IslandModel_1000P[[#This Row],[Input 9 Consumed]]</f>
        <v>0</v>
      </c>
      <c r="DG128" s="42">
        <f>IslandModel_1000P[[#This Row],[Input 10]]</f>
        <v>0</v>
      </c>
      <c r="DH128" s="42">
        <f>-IslandModel_1000P[[#This Row],[Input 10 Consumed]]</f>
        <v>0</v>
      </c>
    </row>
    <row r="129" spans="29:112" ht="21" x14ac:dyDescent="0.65">
      <c r="AC129" s="103" t="s">
        <v>391</v>
      </c>
      <c r="AD129" s="83">
        <f>ROW()</f>
        <v>129</v>
      </c>
      <c r="AE129" s="74">
        <v>2</v>
      </c>
      <c r="AF129" s="50" t="s">
        <v>138</v>
      </c>
      <c r="AG129" s="18"/>
      <c r="AH129" s="74">
        <v>2</v>
      </c>
      <c r="AI129" s="157">
        <f>IFERROR(IslandModel_1000P[[#This Row],[Quantity]]/IslandModel_1000P[[#This Row],[Target Quantity]],0)</f>
        <v>1</v>
      </c>
      <c r="AJ129" s="61" t="str">
        <f>IFERROR(INDEX(Production[Resource Produced],MATCH(IslandModel_1000P[[#This Row],[Building]],Production[Building],0)),"")</f>
        <v>Coal</v>
      </c>
      <c r="AK129" s="99">
        <f>IFERROR(IslandModel_1000P[[#This Row],[Quantity]]*INDEX(Production[Production in 1h],MATCH(IslandModel_1000P[[#This Row],[Building]],Production[Building],0))*IslandModel_1000P[[#This Row],[Input Consumption Multiplier]],0)</f>
        <v>60</v>
      </c>
      <c r="AL129" s="115">
        <f>100%</f>
        <v>1</v>
      </c>
      <c r="AM129"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29" s="77" t="str">
        <f>IFERROR(INDEX(Production[Input 1],MATCH(IslandModel_1000P[[#This Row],[Building]],Production[Building],0)),"")</f>
        <v>Mountain tile</v>
      </c>
      <c r="AO129" s="78"/>
      <c r="AP129"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v>
      </c>
      <c r="AQ129"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294</v>
      </c>
      <c r="AR129"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v>
      </c>
      <c r="AS129" s="35">
        <f>IFERROR(INDEX(Production[Input 2],MATCH(IslandModel_1000P[[#This Row],[Building]],Production[Building],0)),"")</f>
        <v>0</v>
      </c>
      <c r="AT129" s="78"/>
      <c r="AU129"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29"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29"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29" s="35">
        <f>IFERROR(INDEX(Production[Input 3],MATCH(IslandModel_1000P[[#This Row],[Building]],Production[Building],0)),"")</f>
        <v>0</v>
      </c>
      <c r="AY129" s="78"/>
      <c r="AZ129"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29"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29"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29" s="35">
        <f>IFERROR(INDEX(Production[Input 4],MATCH(IslandModel_1000P[[#This Row],[Building]],Production[Building],0)),"")</f>
        <v>0</v>
      </c>
      <c r="BD129" s="78"/>
      <c r="BE129"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29"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29"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29" s="35">
        <f>IFERROR(INDEX(Production[Input 5],MATCH(IslandModel_1000P[[#This Row],[Building]],Production[Building],0)),"")</f>
        <v>0</v>
      </c>
      <c r="BI129" s="78"/>
      <c r="BJ129"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29"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29"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29" s="35">
        <f>IFERROR(INDEX(Production[Input 6],MATCH(IslandModel_1000P[[#This Row],[Building]],Production[Building],0)),"")</f>
        <v>0</v>
      </c>
      <c r="BN129" s="78"/>
      <c r="BO129"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29"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29"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29" s="35">
        <f>IFERROR(INDEX(Production[Input 7],MATCH(IslandModel_1000P[[#This Row],[Building]],Production[Building],0)),"")</f>
        <v>0</v>
      </c>
      <c r="BS129" s="78"/>
      <c r="BT129"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29"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29"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29" s="35">
        <f>IFERROR(INDEX(Production[Input 8],MATCH(IslandModel_1000P[[#This Row],[Building]],Production[Building],0)),"")</f>
        <v>0</v>
      </c>
      <c r="BX129" s="78"/>
      <c r="BY129"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29"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29"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29" s="35">
        <f>IFERROR(INDEX(Production[Input 9],MATCH(IslandModel_1000P[[#This Row],[Building]],Production[Building],0)),"")</f>
        <v>0</v>
      </c>
      <c r="CC129" s="78"/>
      <c r="CD129"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29"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29"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29" s="35">
        <f>IFERROR(INDEX(Production[Input 10],MATCH(IslandModel_1000P[[#This Row],[Building]],Production[Building],0)),"")</f>
        <v>0</v>
      </c>
      <c r="CH129" s="78"/>
      <c r="CI129"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29"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29"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29"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29" s="82" t="str">
        <f>IslandModel_1000P[[#This Row],[Resource Produced]]</f>
        <v>Coal</v>
      </c>
      <c r="CN129" s="42">
        <f>IslandModel_1000P[[#This Row],[Amount produced/h]]</f>
        <v>60</v>
      </c>
      <c r="CO129" s="42" t="str">
        <f>IslandModel_1000P[[#This Row],[Input 1]]</f>
        <v>Mountain tile</v>
      </c>
      <c r="CP129" s="42">
        <f>-IslandModel_1000P[[#This Row],[Input 1 Consumed]]</f>
        <v>-2</v>
      </c>
      <c r="CQ129" s="42">
        <f>IslandModel_1000P[[#This Row],[Input 2]]</f>
        <v>0</v>
      </c>
      <c r="CR129" s="42">
        <f>-IslandModel_1000P[[#This Row],[Input 2 Consumed]]</f>
        <v>0</v>
      </c>
      <c r="CS129" s="42">
        <f>IslandModel_1000P[[#This Row],[Input 3]]</f>
        <v>0</v>
      </c>
      <c r="CT129" s="42">
        <f>-IslandModel_1000P[[#This Row],[Input 3 Consumed]]</f>
        <v>0</v>
      </c>
      <c r="CU129" s="42">
        <f>IslandModel_1000P[[#This Row],[Input 4]]</f>
        <v>0</v>
      </c>
      <c r="CV129" s="42">
        <f>-IslandModel_1000P[[#This Row],[Input 4 Consumed]]</f>
        <v>0</v>
      </c>
      <c r="CW129" s="42">
        <f>IslandModel_1000P[[#This Row],[Input 5]]</f>
        <v>0</v>
      </c>
      <c r="CX129" s="42">
        <f>-IslandModel_1000P[[#This Row],[Input 5 Consumed]]</f>
        <v>0</v>
      </c>
      <c r="CY129" s="42">
        <f>IslandModel_1000P[[#This Row],[Input 6]]</f>
        <v>0</v>
      </c>
      <c r="CZ129" s="42">
        <f>-IslandModel_1000P[[#This Row],[Input 6 Consumed]]</f>
        <v>0</v>
      </c>
      <c r="DA129" s="42">
        <f>IslandModel_1000P[[#This Row],[Input 7]]</f>
        <v>0</v>
      </c>
      <c r="DB129" s="42">
        <f>-IslandModel_1000P[[#This Row],[Input 7 Consumed]]</f>
        <v>0</v>
      </c>
      <c r="DC129" s="42">
        <f>IslandModel_1000P[[#This Row],[Input 8]]</f>
        <v>0</v>
      </c>
      <c r="DD129" s="42">
        <f>-IslandModel_1000P[[#This Row],[Input 8 Consumed]]</f>
        <v>0</v>
      </c>
      <c r="DE129" s="42">
        <f>IslandModel_1000P[[#This Row],[Input 9]]</f>
        <v>0</v>
      </c>
      <c r="DF129" s="42">
        <f>-IslandModel_1000P[[#This Row],[Input 9 Consumed]]</f>
        <v>0</v>
      </c>
      <c r="DG129" s="42">
        <f>IslandModel_1000P[[#This Row],[Input 10]]</f>
        <v>0</v>
      </c>
      <c r="DH129" s="42">
        <f>-IslandModel_1000P[[#This Row],[Input 10 Consumed]]</f>
        <v>0</v>
      </c>
    </row>
    <row r="130" spans="29:112" ht="21" x14ac:dyDescent="0.65">
      <c r="AC130" s="103" t="s">
        <v>391</v>
      </c>
      <c r="AD130" s="83">
        <f>ROW()</f>
        <v>130</v>
      </c>
      <c r="AE130" s="74"/>
      <c r="AF130" s="50" t="s">
        <v>50</v>
      </c>
      <c r="AG130" s="18"/>
      <c r="AH130" s="74"/>
      <c r="AI130" s="157">
        <f>IFERROR(IslandModel_1000P[[#This Row],[Quantity]]/IslandModel_1000P[[#This Row],[Target Quantity]],0)</f>
        <v>0</v>
      </c>
      <c r="AJ130" s="61" t="str">
        <f>IFERROR(INDEX(Production[Resource Produced],MATCH(IslandModel_1000P[[#This Row],[Building]],Production[Building],0)),"")</f>
        <v>Wood</v>
      </c>
      <c r="AK130" s="99">
        <f>IFERROR(IslandModel_1000P[[#This Row],[Quantity]]*INDEX(Production[Production in 1h],MATCH(IslandModel_1000P[[#This Row],[Building]],Production[Building],0))*IslandModel_1000P[[#This Row],[Input Consumption Multiplier]],0)</f>
        <v>0</v>
      </c>
      <c r="AL130" s="115">
        <f>100%</f>
        <v>1</v>
      </c>
      <c r="AM130"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30" s="77" t="str">
        <f>IFERROR(INDEX(Production[Input 1],MATCH(IslandModel_1000P[[#This Row],[Building]],Production[Building],0)),"")</f>
        <v>Land tile</v>
      </c>
      <c r="AO130" s="78"/>
      <c r="AP130"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130"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709.10416666666652</v>
      </c>
      <c r="AR130"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130" s="35">
        <f>IFERROR(INDEX(Production[Input 2],MATCH(IslandModel_1000P[[#This Row],[Building]],Production[Building],0)),"")</f>
        <v>0</v>
      </c>
      <c r="AT130" s="78"/>
      <c r="AU130"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30"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30"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30" s="35">
        <f>IFERROR(INDEX(Production[Input 3],MATCH(IslandModel_1000P[[#This Row],[Building]],Production[Building],0)),"")</f>
        <v>0</v>
      </c>
      <c r="AY130" s="78"/>
      <c r="AZ130"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30"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30"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30" s="35">
        <f>IFERROR(INDEX(Production[Input 4],MATCH(IslandModel_1000P[[#This Row],[Building]],Production[Building],0)),"")</f>
        <v>0</v>
      </c>
      <c r="BD130" s="78"/>
      <c r="BE130"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30"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30"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30" s="35">
        <f>IFERROR(INDEX(Production[Input 5],MATCH(IslandModel_1000P[[#This Row],[Building]],Production[Building],0)),"")</f>
        <v>0</v>
      </c>
      <c r="BI130" s="78"/>
      <c r="BJ130"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30"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30"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30" s="35">
        <f>IFERROR(INDEX(Production[Input 6],MATCH(IslandModel_1000P[[#This Row],[Building]],Production[Building],0)),"")</f>
        <v>0</v>
      </c>
      <c r="BN130" s="78"/>
      <c r="BO130"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30"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30"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30" s="35">
        <f>IFERROR(INDEX(Production[Input 7],MATCH(IslandModel_1000P[[#This Row],[Building]],Production[Building],0)),"")</f>
        <v>0</v>
      </c>
      <c r="BS130" s="78"/>
      <c r="BT130"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30"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30"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30" s="35">
        <f>IFERROR(INDEX(Production[Input 8],MATCH(IslandModel_1000P[[#This Row],[Building]],Production[Building],0)),"")</f>
        <v>0</v>
      </c>
      <c r="BX130" s="78"/>
      <c r="BY130"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30"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30"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30" s="35">
        <f>IFERROR(INDEX(Production[Input 9],MATCH(IslandModel_1000P[[#This Row],[Building]],Production[Building],0)),"")</f>
        <v>0</v>
      </c>
      <c r="CC130" s="78"/>
      <c r="CD130"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30"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30"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30" s="35">
        <f>IFERROR(INDEX(Production[Input 10],MATCH(IslandModel_1000P[[#This Row],[Building]],Production[Building],0)),"")</f>
        <v>0</v>
      </c>
      <c r="CH130" s="78"/>
      <c r="CI130"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30"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30"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30"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30" s="82" t="str">
        <f>IslandModel_1000P[[#This Row],[Resource Produced]]</f>
        <v>Wood</v>
      </c>
      <c r="CN130" s="42">
        <f>IslandModel_1000P[[#This Row],[Amount produced/h]]</f>
        <v>0</v>
      </c>
      <c r="CO130" s="42" t="str">
        <f>IslandModel_1000P[[#This Row],[Input 1]]</f>
        <v>Land tile</v>
      </c>
      <c r="CP130" s="42">
        <f>-IslandModel_1000P[[#This Row],[Input 1 Consumed]]</f>
        <v>0</v>
      </c>
      <c r="CQ130" s="42">
        <f>IslandModel_1000P[[#This Row],[Input 2]]</f>
        <v>0</v>
      </c>
      <c r="CR130" s="42">
        <f>-IslandModel_1000P[[#This Row],[Input 2 Consumed]]</f>
        <v>0</v>
      </c>
      <c r="CS130" s="42">
        <f>IslandModel_1000P[[#This Row],[Input 3]]</f>
        <v>0</v>
      </c>
      <c r="CT130" s="42">
        <f>-IslandModel_1000P[[#This Row],[Input 3 Consumed]]</f>
        <v>0</v>
      </c>
      <c r="CU130" s="42">
        <f>IslandModel_1000P[[#This Row],[Input 4]]</f>
        <v>0</v>
      </c>
      <c r="CV130" s="42">
        <f>-IslandModel_1000P[[#This Row],[Input 4 Consumed]]</f>
        <v>0</v>
      </c>
      <c r="CW130" s="42">
        <f>IslandModel_1000P[[#This Row],[Input 5]]</f>
        <v>0</v>
      </c>
      <c r="CX130" s="42">
        <f>-IslandModel_1000P[[#This Row],[Input 5 Consumed]]</f>
        <v>0</v>
      </c>
      <c r="CY130" s="42">
        <f>IslandModel_1000P[[#This Row],[Input 6]]</f>
        <v>0</v>
      </c>
      <c r="CZ130" s="42">
        <f>-IslandModel_1000P[[#This Row],[Input 6 Consumed]]</f>
        <v>0</v>
      </c>
      <c r="DA130" s="42">
        <f>IslandModel_1000P[[#This Row],[Input 7]]</f>
        <v>0</v>
      </c>
      <c r="DB130" s="42">
        <f>-IslandModel_1000P[[#This Row],[Input 7 Consumed]]</f>
        <v>0</v>
      </c>
      <c r="DC130" s="42">
        <f>IslandModel_1000P[[#This Row],[Input 8]]</f>
        <v>0</v>
      </c>
      <c r="DD130" s="42">
        <f>-IslandModel_1000P[[#This Row],[Input 8 Consumed]]</f>
        <v>0</v>
      </c>
      <c r="DE130" s="42">
        <f>IslandModel_1000P[[#This Row],[Input 9]]</f>
        <v>0</v>
      </c>
      <c r="DF130" s="42">
        <f>-IslandModel_1000P[[#This Row],[Input 9 Consumed]]</f>
        <v>0</v>
      </c>
      <c r="DG130" s="42">
        <f>IslandModel_1000P[[#This Row],[Input 10]]</f>
        <v>0</v>
      </c>
      <c r="DH130" s="42">
        <f>-IslandModel_1000P[[#This Row],[Input 10 Consumed]]</f>
        <v>0</v>
      </c>
    </row>
    <row r="131" spans="29:112" ht="21" x14ac:dyDescent="0.65">
      <c r="AC131" s="103" t="s">
        <v>391</v>
      </c>
      <c r="AD131" s="83">
        <f>ROW()</f>
        <v>131</v>
      </c>
      <c r="AE131" s="74"/>
      <c r="AF131" s="50" t="s">
        <v>858</v>
      </c>
      <c r="AG131" s="18"/>
      <c r="AH131" s="74"/>
      <c r="AI131" s="157">
        <f>IFERROR(IslandModel_1000P[[#This Row],[Quantity]]/IslandModel_1000P[[#This Row],[Target Quantity]],0)</f>
        <v>0</v>
      </c>
      <c r="AJ131" s="61" t="str">
        <f>IFERROR(INDEX(Production[Resource Produced],MATCH(IslandModel_1000P[[#This Row],[Building]],Production[Building],0)),"")</f>
        <v>Coal</v>
      </c>
      <c r="AK131" s="99">
        <f>IFERROR(IslandModel_1000P[[#This Row],[Quantity]]*INDEX(Production[Production in 1h],MATCH(IslandModel_1000P[[#This Row],[Building]],Production[Building],0))*IslandModel_1000P[[#This Row],[Input Consumption Multiplier]],0)</f>
        <v>0</v>
      </c>
      <c r="AL131" s="115">
        <f>100%</f>
        <v>1</v>
      </c>
      <c r="AM131"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31" s="77" t="str">
        <f>IFERROR(INDEX(Production[Input 1],MATCH(IslandModel_1000P[[#This Row],[Building]],Production[Building],0)),"")</f>
        <v>Land tile</v>
      </c>
      <c r="AO131" s="78"/>
      <c r="AP131"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131"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709.10416666666652</v>
      </c>
      <c r="AR131"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131" s="35" t="str">
        <f>IFERROR(INDEX(Production[Input 2],MATCH(IslandModel_1000P[[#This Row],[Building]],Production[Building],0)),"")</f>
        <v>Wood</v>
      </c>
      <c r="AT131" s="78"/>
      <c r="AU131"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31"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465</v>
      </c>
      <c r="AW131"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31" s="35">
        <f>IFERROR(INDEX(Production[Input 3],MATCH(IslandModel_1000P[[#This Row],[Building]],Production[Building],0)),"")</f>
        <v>0</v>
      </c>
      <c r="AY131" s="78"/>
      <c r="AZ131"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31"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31"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31" s="35">
        <f>IFERROR(INDEX(Production[Input 4],MATCH(IslandModel_1000P[[#This Row],[Building]],Production[Building],0)),"")</f>
        <v>0</v>
      </c>
      <c r="BD131" s="78"/>
      <c r="BE131"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31"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31"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31" s="35">
        <f>IFERROR(INDEX(Production[Input 5],MATCH(IslandModel_1000P[[#This Row],[Building]],Production[Building],0)),"")</f>
        <v>0</v>
      </c>
      <c r="BI131" s="78"/>
      <c r="BJ131"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31"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31"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31" s="35">
        <f>IFERROR(INDEX(Production[Input 6],MATCH(IslandModel_1000P[[#This Row],[Building]],Production[Building],0)),"")</f>
        <v>0</v>
      </c>
      <c r="BN131" s="78"/>
      <c r="BO131"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31"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31"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31" s="35">
        <f>IFERROR(INDEX(Production[Input 7],MATCH(IslandModel_1000P[[#This Row],[Building]],Production[Building],0)),"")</f>
        <v>0</v>
      </c>
      <c r="BS131" s="78"/>
      <c r="BT131"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31"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31"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31" s="35">
        <f>IFERROR(INDEX(Production[Input 8],MATCH(IslandModel_1000P[[#This Row],[Building]],Production[Building],0)),"")</f>
        <v>0</v>
      </c>
      <c r="BX131" s="78"/>
      <c r="BY131"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31"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31"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31" s="35">
        <f>IFERROR(INDEX(Production[Input 9],MATCH(IslandModel_1000P[[#This Row],[Building]],Production[Building],0)),"")</f>
        <v>0</v>
      </c>
      <c r="CC131" s="78"/>
      <c r="CD131"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31"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31"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31" s="35">
        <f>IFERROR(INDEX(Production[Input 10],MATCH(IslandModel_1000P[[#This Row],[Building]],Production[Building],0)),"")</f>
        <v>0</v>
      </c>
      <c r="CH131" s="78"/>
      <c r="CI131"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31"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31"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31"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31" s="82" t="str">
        <f>IslandModel_1000P[[#This Row],[Resource Produced]]</f>
        <v>Coal</v>
      </c>
      <c r="CN131" s="42">
        <f>IslandModel_1000P[[#This Row],[Amount produced/h]]</f>
        <v>0</v>
      </c>
      <c r="CO131" s="42" t="str">
        <f>IslandModel_1000P[[#This Row],[Input 1]]</f>
        <v>Land tile</v>
      </c>
      <c r="CP131" s="42">
        <f>-IslandModel_1000P[[#This Row],[Input 1 Consumed]]</f>
        <v>0</v>
      </c>
      <c r="CQ131" s="42" t="str">
        <f>IslandModel_1000P[[#This Row],[Input 2]]</f>
        <v>Wood</v>
      </c>
      <c r="CR131" s="42">
        <f>-IslandModel_1000P[[#This Row],[Input 2 Consumed]]</f>
        <v>0</v>
      </c>
      <c r="CS131" s="42">
        <f>IslandModel_1000P[[#This Row],[Input 3]]</f>
        <v>0</v>
      </c>
      <c r="CT131" s="42">
        <f>-IslandModel_1000P[[#This Row],[Input 3 Consumed]]</f>
        <v>0</v>
      </c>
      <c r="CU131" s="42">
        <f>IslandModel_1000P[[#This Row],[Input 4]]</f>
        <v>0</v>
      </c>
      <c r="CV131" s="42">
        <f>-IslandModel_1000P[[#This Row],[Input 4 Consumed]]</f>
        <v>0</v>
      </c>
      <c r="CW131" s="42">
        <f>IslandModel_1000P[[#This Row],[Input 5]]</f>
        <v>0</v>
      </c>
      <c r="CX131" s="42">
        <f>-IslandModel_1000P[[#This Row],[Input 5 Consumed]]</f>
        <v>0</v>
      </c>
      <c r="CY131" s="42">
        <f>IslandModel_1000P[[#This Row],[Input 6]]</f>
        <v>0</v>
      </c>
      <c r="CZ131" s="42">
        <f>-IslandModel_1000P[[#This Row],[Input 6 Consumed]]</f>
        <v>0</v>
      </c>
      <c r="DA131" s="42">
        <f>IslandModel_1000P[[#This Row],[Input 7]]</f>
        <v>0</v>
      </c>
      <c r="DB131" s="42">
        <f>-IslandModel_1000P[[#This Row],[Input 7 Consumed]]</f>
        <v>0</v>
      </c>
      <c r="DC131" s="42">
        <f>IslandModel_1000P[[#This Row],[Input 8]]</f>
        <v>0</v>
      </c>
      <c r="DD131" s="42">
        <f>-IslandModel_1000P[[#This Row],[Input 8 Consumed]]</f>
        <v>0</v>
      </c>
      <c r="DE131" s="42">
        <f>IslandModel_1000P[[#This Row],[Input 9]]</f>
        <v>0</v>
      </c>
      <c r="DF131" s="42">
        <f>-IslandModel_1000P[[#This Row],[Input 9 Consumed]]</f>
        <v>0</v>
      </c>
      <c r="DG131" s="42">
        <f>IslandModel_1000P[[#This Row],[Input 10]]</f>
        <v>0</v>
      </c>
      <c r="DH131" s="42">
        <f>-IslandModel_1000P[[#This Row],[Input 10 Consumed]]</f>
        <v>0</v>
      </c>
    </row>
    <row r="132" spans="29:112" ht="21" x14ac:dyDescent="0.65">
      <c r="AC132" s="103" t="s">
        <v>391</v>
      </c>
      <c r="AD132" s="83">
        <f>ROW()</f>
        <v>132</v>
      </c>
      <c r="AE132" s="74">
        <v>2</v>
      </c>
      <c r="AF132" s="50" t="s">
        <v>441</v>
      </c>
      <c r="AG132" s="18"/>
      <c r="AH132" s="74">
        <v>2</v>
      </c>
      <c r="AI132" s="157">
        <f>IFERROR(IslandModel_1000P[[#This Row],[Quantity]]/IslandModel_1000P[[#This Row],[Target Quantity]],0)</f>
        <v>1</v>
      </c>
      <c r="AJ132" s="61" t="str">
        <f>IFERROR(INDEX(Production[Resource Produced],MATCH(IslandModel_1000P[[#This Row],[Building]],Production[Building],0)),"")</f>
        <v>Salpetre</v>
      </c>
      <c r="AK132" s="99">
        <f>IFERROR(IslandModel_1000P[[#This Row],[Quantity]]*INDEX(Production[Production in 1h],MATCH(IslandModel_1000P[[#This Row],[Building]],Production[Building],0))*IslandModel_1000P[[#This Row],[Input Consumption Multiplier]],0)</f>
        <v>30</v>
      </c>
      <c r="AL132" s="115">
        <f>100%</f>
        <v>1</v>
      </c>
      <c r="AM132"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32" s="77" t="str">
        <f>IFERROR(INDEX(Production[Input 1],MATCH(IslandModel_1000P[[#This Row],[Building]],Production[Building],0)),"")</f>
        <v>Land tile</v>
      </c>
      <c r="AO132" s="78"/>
      <c r="AP132"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v>
      </c>
      <c r="AQ132"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709.10416666666652</v>
      </c>
      <c r="AR132"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v>
      </c>
      <c r="AS132" s="35">
        <f>IFERROR(INDEX(Production[Input 2],MATCH(IslandModel_1000P[[#This Row],[Building]],Production[Building],0)),"")</f>
        <v>0</v>
      </c>
      <c r="AT132" s="78"/>
      <c r="AU132"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32"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32"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32" s="35">
        <f>IFERROR(INDEX(Production[Input 3],MATCH(IslandModel_1000P[[#This Row],[Building]],Production[Building],0)),"")</f>
        <v>0</v>
      </c>
      <c r="AY132" s="78"/>
      <c r="AZ132"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32"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32"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32" s="35">
        <f>IFERROR(INDEX(Production[Input 4],MATCH(IslandModel_1000P[[#This Row],[Building]],Production[Building],0)),"")</f>
        <v>0</v>
      </c>
      <c r="BD132" s="78"/>
      <c r="BE132"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32"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32"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32" s="35">
        <f>IFERROR(INDEX(Production[Input 5],MATCH(IslandModel_1000P[[#This Row],[Building]],Production[Building],0)),"")</f>
        <v>0</v>
      </c>
      <c r="BI132" s="78"/>
      <c r="BJ132"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32"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32"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32" s="35">
        <f>IFERROR(INDEX(Production[Input 6],MATCH(IslandModel_1000P[[#This Row],[Building]],Production[Building],0)),"")</f>
        <v>0</v>
      </c>
      <c r="BN132" s="78"/>
      <c r="BO132"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32"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32"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32" s="35">
        <f>IFERROR(INDEX(Production[Input 7],MATCH(IslandModel_1000P[[#This Row],[Building]],Production[Building],0)),"")</f>
        <v>0</v>
      </c>
      <c r="BS132" s="78"/>
      <c r="BT132"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32"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32"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32" s="35">
        <f>IFERROR(INDEX(Production[Input 8],MATCH(IslandModel_1000P[[#This Row],[Building]],Production[Building],0)),"")</f>
        <v>0</v>
      </c>
      <c r="BX132" s="78"/>
      <c r="BY132"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32"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32"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32" s="35">
        <f>IFERROR(INDEX(Production[Input 9],MATCH(IslandModel_1000P[[#This Row],[Building]],Production[Building],0)),"")</f>
        <v>0</v>
      </c>
      <c r="CC132" s="78"/>
      <c r="CD132"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32"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32"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32" s="35">
        <f>IFERROR(INDEX(Production[Input 10],MATCH(IslandModel_1000P[[#This Row],[Building]],Production[Building],0)),"")</f>
        <v>0</v>
      </c>
      <c r="CH132" s="78"/>
      <c r="CI132"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32"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32"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32"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32" s="82" t="str">
        <f>IslandModel_1000P[[#This Row],[Resource Produced]]</f>
        <v>Salpetre</v>
      </c>
      <c r="CN132" s="42">
        <f>IslandModel_1000P[[#This Row],[Amount produced/h]]</f>
        <v>30</v>
      </c>
      <c r="CO132" s="42" t="str">
        <f>IslandModel_1000P[[#This Row],[Input 1]]</f>
        <v>Land tile</v>
      </c>
      <c r="CP132" s="42">
        <f>-IslandModel_1000P[[#This Row],[Input 1 Consumed]]</f>
        <v>-2</v>
      </c>
      <c r="CQ132" s="42">
        <f>IslandModel_1000P[[#This Row],[Input 2]]</f>
        <v>0</v>
      </c>
      <c r="CR132" s="42">
        <f>-IslandModel_1000P[[#This Row],[Input 2 Consumed]]</f>
        <v>0</v>
      </c>
      <c r="CS132" s="42">
        <f>IslandModel_1000P[[#This Row],[Input 3]]</f>
        <v>0</v>
      </c>
      <c r="CT132" s="42">
        <f>-IslandModel_1000P[[#This Row],[Input 3 Consumed]]</f>
        <v>0</v>
      </c>
      <c r="CU132" s="42">
        <f>IslandModel_1000P[[#This Row],[Input 4]]</f>
        <v>0</v>
      </c>
      <c r="CV132" s="42">
        <f>-IslandModel_1000P[[#This Row],[Input 4 Consumed]]</f>
        <v>0</v>
      </c>
      <c r="CW132" s="42">
        <f>IslandModel_1000P[[#This Row],[Input 5]]</f>
        <v>0</v>
      </c>
      <c r="CX132" s="42">
        <f>-IslandModel_1000P[[#This Row],[Input 5 Consumed]]</f>
        <v>0</v>
      </c>
      <c r="CY132" s="42">
        <f>IslandModel_1000P[[#This Row],[Input 6]]</f>
        <v>0</v>
      </c>
      <c r="CZ132" s="42">
        <f>-IslandModel_1000P[[#This Row],[Input 6 Consumed]]</f>
        <v>0</v>
      </c>
      <c r="DA132" s="42">
        <f>IslandModel_1000P[[#This Row],[Input 7]]</f>
        <v>0</v>
      </c>
      <c r="DB132" s="42">
        <f>-IslandModel_1000P[[#This Row],[Input 7 Consumed]]</f>
        <v>0</v>
      </c>
      <c r="DC132" s="42">
        <f>IslandModel_1000P[[#This Row],[Input 8]]</f>
        <v>0</v>
      </c>
      <c r="DD132" s="42">
        <f>-IslandModel_1000P[[#This Row],[Input 8 Consumed]]</f>
        <v>0</v>
      </c>
      <c r="DE132" s="42">
        <f>IslandModel_1000P[[#This Row],[Input 9]]</f>
        <v>0</v>
      </c>
      <c r="DF132" s="42">
        <f>-IslandModel_1000P[[#This Row],[Input 9 Consumed]]</f>
        <v>0</v>
      </c>
      <c r="DG132" s="42">
        <f>IslandModel_1000P[[#This Row],[Input 10]]</f>
        <v>0</v>
      </c>
      <c r="DH132" s="42">
        <f>-IslandModel_1000P[[#This Row],[Input 10 Consumed]]</f>
        <v>0</v>
      </c>
    </row>
    <row r="133" spans="29:112" ht="21" x14ac:dyDescent="0.65">
      <c r="AC133" s="103" t="s">
        <v>391</v>
      </c>
      <c r="AD133" s="83">
        <f>ROW()</f>
        <v>133</v>
      </c>
      <c r="AE133" s="74">
        <v>2</v>
      </c>
      <c r="AF133" s="50" t="s">
        <v>442</v>
      </c>
      <c r="AG133" s="18"/>
      <c r="AH133" s="74">
        <v>2</v>
      </c>
      <c r="AI133" s="157">
        <f>IFERROR(IslandModel_1000P[[#This Row],[Quantity]]/IslandModel_1000P[[#This Row],[Target Quantity]],0)</f>
        <v>1</v>
      </c>
      <c r="AJ133" s="61" t="str">
        <f>IFERROR(INDEX(Production[Resource Produced],MATCH(IslandModel_1000P[[#This Row],[Building]],Production[Building],0)),"")</f>
        <v>Gunpowder</v>
      </c>
      <c r="AK133" s="99">
        <f>IFERROR(IslandModel_1000P[[#This Row],[Quantity]]*INDEX(Production[Production in 1h],MATCH(IslandModel_1000P[[#This Row],[Building]],Production[Building],0))*IslandModel_1000P[[#This Row],[Input Consumption Multiplier]],0)</f>
        <v>30</v>
      </c>
      <c r="AL133" s="115">
        <f>100%</f>
        <v>1</v>
      </c>
      <c r="AM133"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33" s="77" t="str">
        <f>IFERROR(INDEX(Production[Input 1],MATCH(IslandModel_1000P[[#This Row],[Building]],Production[Building],0)),"")</f>
        <v>Land tile</v>
      </c>
      <c r="AO133" s="78"/>
      <c r="AP133"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v>
      </c>
      <c r="AQ133"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707.10416666666652</v>
      </c>
      <c r="AR133"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v>
      </c>
      <c r="AS133" s="35" t="str">
        <f>IFERROR(INDEX(Production[Input 2],MATCH(IslandModel_1000P[[#This Row],[Building]],Production[Building],0)),"")</f>
        <v>Coal</v>
      </c>
      <c r="AT133" s="78"/>
      <c r="AU133"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30</v>
      </c>
      <c r="AV133"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112.5</v>
      </c>
      <c r="AW133"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30</v>
      </c>
      <c r="AX133" s="35" t="str">
        <f>IFERROR(INDEX(Production[Input 3],MATCH(IslandModel_1000P[[#This Row],[Building]],Production[Building],0)),"")</f>
        <v>Salpetre</v>
      </c>
      <c r="AY133" s="78"/>
      <c r="AZ133"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30</v>
      </c>
      <c r="BA133"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30</v>
      </c>
      <c r="BB133"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30</v>
      </c>
      <c r="BC133" s="35">
        <f>IFERROR(INDEX(Production[Input 4],MATCH(IslandModel_1000P[[#This Row],[Building]],Production[Building],0)),"")</f>
        <v>0</v>
      </c>
      <c r="BD133" s="78"/>
      <c r="BE133"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33"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33"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33" s="35">
        <f>IFERROR(INDEX(Production[Input 5],MATCH(IslandModel_1000P[[#This Row],[Building]],Production[Building],0)),"")</f>
        <v>0</v>
      </c>
      <c r="BI133" s="78"/>
      <c r="BJ133"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33"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33"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33" s="35">
        <f>IFERROR(INDEX(Production[Input 6],MATCH(IslandModel_1000P[[#This Row],[Building]],Production[Building],0)),"")</f>
        <v>0</v>
      </c>
      <c r="BN133" s="78"/>
      <c r="BO133"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33"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33"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33" s="35">
        <f>IFERROR(INDEX(Production[Input 7],MATCH(IslandModel_1000P[[#This Row],[Building]],Production[Building],0)),"")</f>
        <v>0</v>
      </c>
      <c r="BS133" s="78"/>
      <c r="BT133"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33"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33"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33" s="35">
        <f>IFERROR(INDEX(Production[Input 8],MATCH(IslandModel_1000P[[#This Row],[Building]],Production[Building],0)),"")</f>
        <v>0</v>
      </c>
      <c r="BX133" s="78"/>
      <c r="BY133"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33"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33"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33" s="35">
        <f>IFERROR(INDEX(Production[Input 9],MATCH(IslandModel_1000P[[#This Row],[Building]],Production[Building],0)),"")</f>
        <v>0</v>
      </c>
      <c r="CC133" s="78"/>
      <c r="CD133"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33"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33"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33" s="35">
        <f>IFERROR(INDEX(Production[Input 10],MATCH(IslandModel_1000P[[#This Row],[Building]],Production[Building],0)),"")</f>
        <v>0</v>
      </c>
      <c r="CH133" s="78"/>
      <c r="CI133"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33"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33"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33"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33" s="82" t="str">
        <f>IslandModel_1000P[[#This Row],[Resource Produced]]</f>
        <v>Gunpowder</v>
      </c>
      <c r="CN133" s="42">
        <f>IslandModel_1000P[[#This Row],[Amount produced/h]]</f>
        <v>30</v>
      </c>
      <c r="CO133" s="42" t="str">
        <f>IslandModel_1000P[[#This Row],[Input 1]]</f>
        <v>Land tile</v>
      </c>
      <c r="CP133" s="42">
        <f>-IslandModel_1000P[[#This Row],[Input 1 Consumed]]</f>
        <v>-2</v>
      </c>
      <c r="CQ133" s="42" t="str">
        <f>IslandModel_1000P[[#This Row],[Input 2]]</f>
        <v>Coal</v>
      </c>
      <c r="CR133" s="42">
        <f>-IslandModel_1000P[[#This Row],[Input 2 Consumed]]</f>
        <v>-30</v>
      </c>
      <c r="CS133" s="42" t="str">
        <f>IslandModel_1000P[[#This Row],[Input 3]]</f>
        <v>Salpetre</v>
      </c>
      <c r="CT133" s="42">
        <f>-IslandModel_1000P[[#This Row],[Input 3 Consumed]]</f>
        <v>-30</v>
      </c>
      <c r="CU133" s="42">
        <f>IslandModel_1000P[[#This Row],[Input 4]]</f>
        <v>0</v>
      </c>
      <c r="CV133" s="42">
        <f>-IslandModel_1000P[[#This Row],[Input 4 Consumed]]</f>
        <v>0</v>
      </c>
      <c r="CW133" s="42">
        <f>IslandModel_1000P[[#This Row],[Input 5]]</f>
        <v>0</v>
      </c>
      <c r="CX133" s="42">
        <f>-IslandModel_1000P[[#This Row],[Input 5 Consumed]]</f>
        <v>0</v>
      </c>
      <c r="CY133" s="42">
        <f>IslandModel_1000P[[#This Row],[Input 6]]</f>
        <v>0</v>
      </c>
      <c r="CZ133" s="42">
        <f>-IslandModel_1000P[[#This Row],[Input 6 Consumed]]</f>
        <v>0</v>
      </c>
      <c r="DA133" s="42">
        <f>IslandModel_1000P[[#This Row],[Input 7]]</f>
        <v>0</v>
      </c>
      <c r="DB133" s="42">
        <f>-IslandModel_1000P[[#This Row],[Input 7 Consumed]]</f>
        <v>0</v>
      </c>
      <c r="DC133" s="42">
        <f>IslandModel_1000P[[#This Row],[Input 8]]</f>
        <v>0</v>
      </c>
      <c r="DD133" s="42">
        <f>-IslandModel_1000P[[#This Row],[Input 8 Consumed]]</f>
        <v>0</v>
      </c>
      <c r="DE133" s="42">
        <f>IslandModel_1000P[[#This Row],[Input 9]]</f>
        <v>0</v>
      </c>
      <c r="DF133" s="42">
        <f>-IslandModel_1000P[[#This Row],[Input 9 Consumed]]</f>
        <v>0</v>
      </c>
      <c r="DG133" s="42">
        <f>IslandModel_1000P[[#This Row],[Input 10]]</f>
        <v>0</v>
      </c>
      <c r="DH133" s="42">
        <f>-IslandModel_1000P[[#This Row],[Input 10 Consumed]]</f>
        <v>0</v>
      </c>
    </row>
    <row r="134" spans="29:112" ht="21" x14ac:dyDescent="0.65">
      <c r="AC134" s="103" t="s">
        <v>391</v>
      </c>
      <c r="AD134" s="83">
        <f>ROW()</f>
        <v>134</v>
      </c>
      <c r="AE134" s="74">
        <v>1</v>
      </c>
      <c r="AF134" s="50" t="s">
        <v>50</v>
      </c>
      <c r="AG134" s="18"/>
      <c r="AH134" s="74">
        <v>1</v>
      </c>
      <c r="AI134" s="157">
        <f>IFERROR(IslandModel_1000P[[#This Row],[Quantity]]/IslandModel_1000P[[#This Row],[Target Quantity]],0)</f>
        <v>1</v>
      </c>
      <c r="AJ134" s="61" t="str">
        <f>IFERROR(INDEX(Production[Resource Produced],MATCH(IslandModel_1000P[[#This Row],[Building]],Production[Building],0)),"")</f>
        <v>Wood</v>
      </c>
      <c r="AK134" s="99">
        <f>IFERROR(IslandModel_1000P[[#This Row],[Quantity]]*INDEX(Production[Production in 1h],MATCH(IslandModel_1000P[[#This Row],[Building]],Production[Building],0))*IslandModel_1000P[[#This Row],[Input Consumption Multiplier]],0)</f>
        <v>300</v>
      </c>
      <c r="AL134" s="115">
        <f>100%</f>
        <v>1</v>
      </c>
      <c r="AM134"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34" s="77" t="str">
        <f>IFERROR(INDEX(Production[Input 1],MATCH(IslandModel_1000P[[#This Row],[Building]],Production[Building],0)),"")</f>
        <v>Land tile</v>
      </c>
      <c r="AO134" s="78"/>
      <c r="AP134"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7</v>
      </c>
      <c r="AQ134"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705.10416666666652</v>
      </c>
      <c r="AR134"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7</v>
      </c>
      <c r="AS134" s="35">
        <f>IFERROR(INDEX(Production[Input 2],MATCH(IslandModel_1000P[[#This Row],[Building]],Production[Building],0)),"")</f>
        <v>0</v>
      </c>
      <c r="AT134" s="78"/>
      <c r="AU134"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34"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34"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34" s="35">
        <f>IFERROR(INDEX(Production[Input 3],MATCH(IslandModel_1000P[[#This Row],[Building]],Production[Building],0)),"")</f>
        <v>0</v>
      </c>
      <c r="AY134" s="78"/>
      <c r="AZ134"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34"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34"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34" s="35">
        <f>IFERROR(INDEX(Production[Input 4],MATCH(IslandModel_1000P[[#This Row],[Building]],Production[Building],0)),"")</f>
        <v>0</v>
      </c>
      <c r="BD134" s="78"/>
      <c r="BE134"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34"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34"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34" s="35">
        <f>IFERROR(INDEX(Production[Input 5],MATCH(IslandModel_1000P[[#This Row],[Building]],Production[Building],0)),"")</f>
        <v>0</v>
      </c>
      <c r="BI134" s="78"/>
      <c r="BJ134"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34"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34"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34" s="35">
        <f>IFERROR(INDEX(Production[Input 6],MATCH(IslandModel_1000P[[#This Row],[Building]],Production[Building],0)),"")</f>
        <v>0</v>
      </c>
      <c r="BN134" s="78"/>
      <c r="BO134"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34"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34"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34" s="35">
        <f>IFERROR(INDEX(Production[Input 7],MATCH(IslandModel_1000P[[#This Row],[Building]],Production[Building],0)),"")</f>
        <v>0</v>
      </c>
      <c r="BS134" s="78"/>
      <c r="BT134"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34"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34"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34" s="35">
        <f>IFERROR(INDEX(Production[Input 8],MATCH(IslandModel_1000P[[#This Row],[Building]],Production[Building],0)),"")</f>
        <v>0</v>
      </c>
      <c r="BX134" s="78"/>
      <c r="BY134"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34"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34"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34" s="35">
        <f>IFERROR(INDEX(Production[Input 9],MATCH(IslandModel_1000P[[#This Row],[Building]],Production[Building],0)),"")</f>
        <v>0</v>
      </c>
      <c r="CC134" s="78"/>
      <c r="CD134"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34"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34"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34" s="35">
        <f>IFERROR(INDEX(Production[Input 10],MATCH(IslandModel_1000P[[#This Row],[Building]],Production[Building],0)),"")</f>
        <v>0</v>
      </c>
      <c r="CH134" s="78"/>
      <c r="CI134"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34"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34"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34"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34" s="82" t="str">
        <f>IslandModel_1000P[[#This Row],[Resource Produced]]</f>
        <v>Wood</v>
      </c>
      <c r="CN134" s="42">
        <f>IslandModel_1000P[[#This Row],[Amount produced/h]]</f>
        <v>300</v>
      </c>
      <c r="CO134" s="42" t="str">
        <f>IslandModel_1000P[[#This Row],[Input 1]]</f>
        <v>Land tile</v>
      </c>
      <c r="CP134" s="42">
        <f>-IslandModel_1000P[[#This Row],[Input 1 Consumed]]</f>
        <v>-7</v>
      </c>
      <c r="CQ134" s="42">
        <f>IslandModel_1000P[[#This Row],[Input 2]]</f>
        <v>0</v>
      </c>
      <c r="CR134" s="42">
        <f>-IslandModel_1000P[[#This Row],[Input 2 Consumed]]</f>
        <v>0</v>
      </c>
      <c r="CS134" s="42">
        <f>IslandModel_1000P[[#This Row],[Input 3]]</f>
        <v>0</v>
      </c>
      <c r="CT134" s="42">
        <f>-IslandModel_1000P[[#This Row],[Input 3 Consumed]]</f>
        <v>0</v>
      </c>
      <c r="CU134" s="42">
        <f>IslandModel_1000P[[#This Row],[Input 4]]</f>
        <v>0</v>
      </c>
      <c r="CV134" s="42">
        <f>-IslandModel_1000P[[#This Row],[Input 4 Consumed]]</f>
        <v>0</v>
      </c>
      <c r="CW134" s="42">
        <f>IslandModel_1000P[[#This Row],[Input 5]]</f>
        <v>0</v>
      </c>
      <c r="CX134" s="42">
        <f>-IslandModel_1000P[[#This Row],[Input 5 Consumed]]</f>
        <v>0</v>
      </c>
      <c r="CY134" s="42">
        <f>IslandModel_1000P[[#This Row],[Input 6]]</f>
        <v>0</v>
      </c>
      <c r="CZ134" s="42">
        <f>-IslandModel_1000P[[#This Row],[Input 6 Consumed]]</f>
        <v>0</v>
      </c>
      <c r="DA134" s="42">
        <f>IslandModel_1000P[[#This Row],[Input 7]]</f>
        <v>0</v>
      </c>
      <c r="DB134" s="42">
        <f>-IslandModel_1000P[[#This Row],[Input 7 Consumed]]</f>
        <v>0</v>
      </c>
      <c r="DC134" s="42">
        <f>IslandModel_1000P[[#This Row],[Input 8]]</f>
        <v>0</v>
      </c>
      <c r="DD134" s="42">
        <f>-IslandModel_1000P[[#This Row],[Input 8 Consumed]]</f>
        <v>0</v>
      </c>
      <c r="DE134" s="42">
        <f>IslandModel_1000P[[#This Row],[Input 9]]</f>
        <v>0</v>
      </c>
      <c r="DF134" s="42">
        <f>-IslandModel_1000P[[#This Row],[Input 9 Consumed]]</f>
        <v>0</v>
      </c>
      <c r="DG134" s="42">
        <f>IslandModel_1000P[[#This Row],[Input 10]]</f>
        <v>0</v>
      </c>
      <c r="DH134" s="42">
        <f>-IslandModel_1000P[[#This Row],[Input 10 Consumed]]</f>
        <v>0</v>
      </c>
    </row>
    <row r="135" spans="29:112" ht="21" x14ac:dyDescent="0.65">
      <c r="AC135" s="103" t="s">
        <v>391</v>
      </c>
      <c r="AD135" s="83">
        <f>ROW()</f>
        <v>135</v>
      </c>
      <c r="AE135" s="74">
        <v>1</v>
      </c>
      <c r="AF135" s="50" t="s">
        <v>90</v>
      </c>
      <c r="AG135" s="18"/>
      <c r="AH135" s="74">
        <v>1</v>
      </c>
      <c r="AI135" s="157">
        <f>IFERROR(IslandModel_1000P[[#This Row],[Quantity]]/IslandModel_1000P[[#This Row],[Target Quantity]],0)</f>
        <v>1</v>
      </c>
      <c r="AJ135" s="61" t="str">
        <f>IFERROR(INDEX(Production[Resource Produced],MATCH(IslandModel_1000P[[#This Row],[Building]],Production[Building],0)),"")</f>
        <v>Copper Ore</v>
      </c>
      <c r="AK135" s="99">
        <f>IFERROR(IslandModel_1000P[[#This Row],[Quantity]]*INDEX(Production[Production in 1h],MATCH(IslandModel_1000P[[#This Row],[Building]],Production[Building],0))*IslandModel_1000P[[#This Row],[Input Consumption Multiplier]],0)</f>
        <v>15</v>
      </c>
      <c r="AL135" s="115">
        <f>100%</f>
        <v>1</v>
      </c>
      <c r="AM135"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35" s="77" t="str">
        <f>IFERROR(INDEX(Production[Input 1],MATCH(IslandModel_1000P[[#This Row],[Building]],Production[Building],0)),"")</f>
        <v>Mountain tile</v>
      </c>
      <c r="AO135" s="78"/>
      <c r="AP135"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v>
      </c>
      <c r="AQ135"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292</v>
      </c>
      <c r="AR135"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v>
      </c>
      <c r="AS135" s="35">
        <f>IFERROR(INDEX(Production[Input 2],MATCH(IslandModel_1000P[[#This Row],[Building]],Production[Building],0)),"")</f>
        <v>0</v>
      </c>
      <c r="AT135" s="78"/>
      <c r="AU135"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35"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35"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35" s="35">
        <f>IFERROR(INDEX(Production[Input 3],MATCH(IslandModel_1000P[[#This Row],[Building]],Production[Building],0)),"")</f>
        <v>0</v>
      </c>
      <c r="AY135" s="78"/>
      <c r="AZ135"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35"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35"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35" s="35">
        <f>IFERROR(INDEX(Production[Input 4],MATCH(IslandModel_1000P[[#This Row],[Building]],Production[Building],0)),"")</f>
        <v>0</v>
      </c>
      <c r="BD135" s="78"/>
      <c r="BE135"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35"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35"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35" s="35">
        <f>IFERROR(INDEX(Production[Input 5],MATCH(IslandModel_1000P[[#This Row],[Building]],Production[Building],0)),"")</f>
        <v>0</v>
      </c>
      <c r="BI135" s="78"/>
      <c r="BJ135"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35"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35"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35" s="35">
        <f>IFERROR(INDEX(Production[Input 6],MATCH(IslandModel_1000P[[#This Row],[Building]],Production[Building],0)),"")</f>
        <v>0</v>
      </c>
      <c r="BN135" s="78"/>
      <c r="BO135"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35"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35"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35" s="35">
        <f>IFERROR(INDEX(Production[Input 7],MATCH(IslandModel_1000P[[#This Row],[Building]],Production[Building],0)),"")</f>
        <v>0</v>
      </c>
      <c r="BS135" s="78"/>
      <c r="BT135"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35"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35"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35" s="35">
        <f>IFERROR(INDEX(Production[Input 8],MATCH(IslandModel_1000P[[#This Row],[Building]],Production[Building],0)),"")</f>
        <v>0</v>
      </c>
      <c r="BX135" s="78"/>
      <c r="BY135"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35"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35"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35" s="35">
        <f>IFERROR(INDEX(Production[Input 9],MATCH(IslandModel_1000P[[#This Row],[Building]],Production[Building],0)),"")</f>
        <v>0</v>
      </c>
      <c r="CC135" s="78"/>
      <c r="CD135"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35"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35"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35" s="35">
        <f>IFERROR(INDEX(Production[Input 10],MATCH(IslandModel_1000P[[#This Row],[Building]],Production[Building],0)),"")</f>
        <v>0</v>
      </c>
      <c r="CH135" s="78"/>
      <c r="CI135"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35"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35"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35"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35" s="82" t="str">
        <f>IslandModel_1000P[[#This Row],[Resource Produced]]</f>
        <v>Copper Ore</v>
      </c>
      <c r="CN135" s="42">
        <f>IslandModel_1000P[[#This Row],[Amount produced/h]]</f>
        <v>15</v>
      </c>
      <c r="CO135" s="42" t="str">
        <f>IslandModel_1000P[[#This Row],[Input 1]]</f>
        <v>Mountain tile</v>
      </c>
      <c r="CP135" s="42">
        <f>-IslandModel_1000P[[#This Row],[Input 1 Consumed]]</f>
        <v>-1</v>
      </c>
      <c r="CQ135" s="42">
        <f>IslandModel_1000P[[#This Row],[Input 2]]</f>
        <v>0</v>
      </c>
      <c r="CR135" s="42">
        <f>-IslandModel_1000P[[#This Row],[Input 2 Consumed]]</f>
        <v>0</v>
      </c>
      <c r="CS135" s="42">
        <f>IslandModel_1000P[[#This Row],[Input 3]]</f>
        <v>0</v>
      </c>
      <c r="CT135" s="42">
        <f>-IslandModel_1000P[[#This Row],[Input 3 Consumed]]</f>
        <v>0</v>
      </c>
      <c r="CU135" s="42">
        <f>IslandModel_1000P[[#This Row],[Input 4]]</f>
        <v>0</v>
      </c>
      <c r="CV135" s="42">
        <f>-IslandModel_1000P[[#This Row],[Input 4 Consumed]]</f>
        <v>0</v>
      </c>
      <c r="CW135" s="42">
        <f>IslandModel_1000P[[#This Row],[Input 5]]</f>
        <v>0</v>
      </c>
      <c r="CX135" s="42">
        <f>-IslandModel_1000P[[#This Row],[Input 5 Consumed]]</f>
        <v>0</v>
      </c>
      <c r="CY135" s="42">
        <f>IslandModel_1000P[[#This Row],[Input 6]]</f>
        <v>0</v>
      </c>
      <c r="CZ135" s="42">
        <f>-IslandModel_1000P[[#This Row],[Input 6 Consumed]]</f>
        <v>0</v>
      </c>
      <c r="DA135" s="42">
        <f>IslandModel_1000P[[#This Row],[Input 7]]</f>
        <v>0</v>
      </c>
      <c r="DB135" s="42">
        <f>-IslandModel_1000P[[#This Row],[Input 7 Consumed]]</f>
        <v>0</v>
      </c>
      <c r="DC135" s="42">
        <f>IslandModel_1000P[[#This Row],[Input 8]]</f>
        <v>0</v>
      </c>
      <c r="DD135" s="42">
        <f>-IslandModel_1000P[[#This Row],[Input 8 Consumed]]</f>
        <v>0</v>
      </c>
      <c r="DE135" s="42">
        <f>IslandModel_1000P[[#This Row],[Input 9]]</f>
        <v>0</v>
      </c>
      <c r="DF135" s="42">
        <f>-IslandModel_1000P[[#This Row],[Input 9 Consumed]]</f>
        <v>0</v>
      </c>
      <c r="DG135" s="42">
        <f>IslandModel_1000P[[#This Row],[Input 10]]</f>
        <v>0</v>
      </c>
      <c r="DH135" s="42">
        <f>-IslandModel_1000P[[#This Row],[Input 10 Consumed]]</f>
        <v>0</v>
      </c>
    </row>
    <row r="136" spans="29:112" ht="21" x14ac:dyDescent="0.65">
      <c r="AC136" s="103" t="s">
        <v>391</v>
      </c>
      <c r="AD136" s="83">
        <f>ROW()</f>
        <v>136</v>
      </c>
      <c r="AE136" s="74">
        <v>2</v>
      </c>
      <c r="AF136" s="50" t="s">
        <v>92</v>
      </c>
      <c r="AG136" s="18"/>
      <c r="AH136" s="74">
        <v>2</v>
      </c>
      <c r="AI136" s="157">
        <f>IFERROR(IslandModel_1000P[[#This Row],[Quantity]]/IslandModel_1000P[[#This Row],[Target Quantity]],0)</f>
        <v>1</v>
      </c>
      <c r="AJ136" s="61" t="str">
        <f>IFERROR(INDEX(Production[Resource Produced],MATCH(IslandModel_1000P[[#This Row],[Building]],Production[Building],0)),"")</f>
        <v>Copper Ingot</v>
      </c>
      <c r="AK136" s="99">
        <f>IFERROR(IslandModel_1000P[[#This Row],[Quantity]]*INDEX(Production[Production in 1h],MATCH(IslandModel_1000P[[#This Row],[Building]],Production[Building],0))*IslandModel_1000P[[#This Row],[Input Consumption Multiplier]],0)</f>
        <v>15</v>
      </c>
      <c r="AL136" s="115">
        <f>100%</f>
        <v>1</v>
      </c>
      <c r="AM136"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36" s="77" t="str">
        <f>IFERROR(INDEX(Production[Input 1],MATCH(IslandModel_1000P[[#This Row],[Building]],Production[Building],0)),"")</f>
        <v>Land tile</v>
      </c>
      <c r="AO136" s="78"/>
      <c r="AP136"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v>
      </c>
      <c r="AQ136"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698.10416666666652</v>
      </c>
      <c r="AR136"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v>
      </c>
      <c r="AS136" s="35" t="str">
        <f>IFERROR(INDEX(Production[Input 2],MATCH(IslandModel_1000P[[#This Row],[Building]],Production[Building],0)),"")</f>
        <v>Copper Ore</v>
      </c>
      <c r="AT136" s="78"/>
      <c r="AU136"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15</v>
      </c>
      <c r="AV136"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22.5</v>
      </c>
      <c r="AW136"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15</v>
      </c>
      <c r="AX136" s="35" t="str">
        <f>IFERROR(INDEX(Production[Input 3],MATCH(IslandModel_1000P[[#This Row],[Building]],Production[Building],0)),"")</f>
        <v>Wood</v>
      </c>
      <c r="AY136" s="78"/>
      <c r="AZ136"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150</v>
      </c>
      <c r="BA136"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765</v>
      </c>
      <c r="BB136"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150</v>
      </c>
      <c r="BC136" s="35">
        <f>IFERROR(INDEX(Production[Input 4],MATCH(IslandModel_1000P[[#This Row],[Building]],Production[Building],0)),"")</f>
        <v>0</v>
      </c>
      <c r="BD136" s="78"/>
      <c r="BE136"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36"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36"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36" s="35">
        <f>IFERROR(INDEX(Production[Input 5],MATCH(IslandModel_1000P[[#This Row],[Building]],Production[Building],0)),"")</f>
        <v>0</v>
      </c>
      <c r="BI136" s="78"/>
      <c r="BJ136"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36"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36"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36" s="35">
        <f>IFERROR(INDEX(Production[Input 6],MATCH(IslandModel_1000P[[#This Row],[Building]],Production[Building],0)),"")</f>
        <v>0</v>
      </c>
      <c r="BN136" s="78"/>
      <c r="BO136"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36"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36"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36" s="35">
        <f>IFERROR(INDEX(Production[Input 7],MATCH(IslandModel_1000P[[#This Row],[Building]],Production[Building],0)),"")</f>
        <v>0</v>
      </c>
      <c r="BS136" s="78"/>
      <c r="BT136"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36"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36"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36" s="35">
        <f>IFERROR(INDEX(Production[Input 8],MATCH(IslandModel_1000P[[#This Row],[Building]],Production[Building],0)),"")</f>
        <v>0</v>
      </c>
      <c r="BX136" s="78"/>
      <c r="BY136"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36"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36"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36" s="35">
        <f>IFERROR(INDEX(Production[Input 9],MATCH(IslandModel_1000P[[#This Row],[Building]],Production[Building],0)),"")</f>
        <v>0</v>
      </c>
      <c r="CC136" s="78"/>
      <c r="CD136"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36"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36"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36" s="35">
        <f>IFERROR(INDEX(Production[Input 10],MATCH(IslandModel_1000P[[#This Row],[Building]],Production[Building],0)),"")</f>
        <v>0</v>
      </c>
      <c r="CH136" s="78"/>
      <c r="CI136"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36"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36"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36"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36" s="82" t="str">
        <f>IslandModel_1000P[[#This Row],[Resource Produced]]</f>
        <v>Copper Ingot</v>
      </c>
      <c r="CN136" s="42">
        <f>IslandModel_1000P[[#This Row],[Amount produced/h]]</f>
        <v>15</v>
      </c>
      <c r="CO136" s="42" t="str">
        <f>IslandModel_1000P[[#This Row],[Input 1]]</f>
        <v>Land tile</v>
      </c>
      <c r="CP136" s="42">
        <f>-IslandModel_1000P[[#This Row],[Input 1 Consumed]]</f>
        <v>-2</v>
      </c>
      <c r="CQ136" s="42" t="str">
        <f>IslandModel_1000P[[#This Row],[Input 2]]</f>
        <v>Copper Ore</v>
      </c>
      <c r="CR136" s="42">
        <f>-IslandModel_1000P[[#This Row],[Input 2 Consumed]]</f>
        <v>-15</v>
      </c>
      <c r="CS136" s="42" t="str">
        <f>IslandModel_1000P[[#This Row],[Input 3]]</f>
        <v>Wood</v>
      </c>
      <c r="CT136" s="42">
        <f>-IslandModel_1000P[[#This Row],[Input 3 Consumed]]</f>
        <v>-150</v>
      </c>
      <c r="CU136" s="42">
        <f>IslandModel_1000P[[#This Row],[Input 4]]</f>
        <v>0</v>
      </c>
      <c r="CV136" s="42">
        <f>-IslandModel_1000P[[#This Row],[Input 4 Consumed]]</f>
        <v>0</v>
      </c>
      <c r="CW136" s="42">
        <f>IslandModel_1000P[[#This Row],[Input 5]]</f>
        <v>0</v>
      </c>
      <c r="CX136" s="42">
        <f>-IslandModel_1000P[[#This Row],[Input 5 Consumed]]</f>
        <v>0</v>
      </c>
      <c r="CY136" s="42">
        <f>IslandModel_1000P[[#This Row],[Input 6]]</f>
        <v>0</v>
      </c>
      <c r="CZ136" s="42">
        <f>-IslandModel_1000P[[#This Row],[Input 6 Consumed]]</f>
        <v>0</v>
      </c>
      <c r="DA136" s="42">
        <f>IslandModel_1000P[[#This Row],[Input 7]]</f>
        <v>0</v>
      </c>
      <c r="DB136" s="42">
        <f>-IslandModel_1000P[[#This Row],[Input 7 Consumed]]</f>
        <v>0</v>
      </c>
      <c r="DC136" s="42">
        <f>IslandModel_1000P[[#This Row],[Input 8]]</f>
        <v>0</v>
      </c>
      <c r="DD136" s="42">
        <f>-IslandModel_1000P[[#This Row],[Input 8 Consumed]]</f>
        <v>0</v>
      </c>
      <c r="DE136" s="42">
        <f>IslandModel_1000P[[#This Row],[Input 9]]</f>
        <v>0</v>
      </c>
      <c r="DF136" s="42">
        <f>-IslandModel_1000P[[#This Row],[Input 9 Consumed]]</f>
        <v>0</v>
      </c>
      <c r="DG136" s="42">
        <f>IslandModel_1000P[[#This Row],[Input 10]]</f>
        <v>0</v>
      </c>
      <c r="DH136" s="42">
        <f>-IslandModel_1000P[[#This Row],[Input 10 Consumed]]</f>
        <v>0</v>
      </c>
    </row>
    <row r="137" spans="29:112" ht="21" x14ac:dyDescent="0.65">
      <c r="AC137" s="103" t="s">
        <v>391</v>
      </c>
      <c r="AD137" s="83">
        <f>ROW()</f>
        <v>137</v>
      </c>
      <c r="AE137" s="74">
        <v>1</v>
      </c>
      <c r="AF137" s="50" t="s">
        <v>153</v>
      </c>
      <c r="AG137" s="18"/>
      <c r="AH137" s="74">
        <v>1</v>
      </c>
      <c r="AI137" s="157">
        <f>IFERROR(IslandModel_1000P[[#This Row],[Quantity]]/IslandModel_1000P[[#This Row],[Target Quantity]],0)</f>
        <v>1</v>
      </c>
      <c r="AJ137" s="61" t="str">
        <f>IFERROR(INDEX(Production[Resource Produced],MATCH(IslandModel_1000P[[#This Row],[Building]],Production[Building],0)),"")</f>
        <v>Iron Ore</v>
      </c>
      <c r="AK137" s="99">
        <f>IFERROR(IslandModel_1000P[[#This Row],[Quantity]]*INDEX(Production[Production in 1h],MATCH(IslandModel_1000P[[#This Row],[Building]],Production[Building],0))*IslandModel_1000P[[#This Row],[Input Consumption Multiplier]],0)</f>
        <v>15</v>
      </c>
      <c r="AL137" s="115">
        <f>100%</f>
        <v>1</v>
      </c>
      <c r="AM137"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37" s="77" t="str">
        <f>IFERROR(INDEX(Production[Input 1],MATCH(IslandModel_1000P[[#This Row],[Building]],Production[Building],0)),"")</f>
        <v>Mountain tile</v>
      </c>
      <c r="AO137" s="78"/>
      <c r="AP137"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v>
      </c>
      <c r="AQ137"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291</v>
      </c>
      <c r="AR137"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v>
      </c>
      <c r="AS137" s="35">
        <f>IFERROR(INDEX(Production[Input 2],MATCH(IslandModel_1000P[[#This Row],[Building]],Production[Building],0)),"")</f>
        <v>0</v>
      </c>
      <c r="AT137" s="78"/>
      <c r="AU137"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37"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37"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37" s="35">
        <f>IFERROR(INDEX(Production[Input 3],MATCH(IslandModel_1000P[[#This Row],[Building]],Production[Building],0)),"")</f>
        <v>0</v>
      </c>
      <c r="AY137" s="78"/>
      <c r="AZ137"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37"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37"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37" s="35">
        <f>IFERROR(INDEX(Production[Input 4],MATCH(IslandModel_1000P[[#This Row],[Building]],Production[Building],0)),"")</f>
        <v>0</v>
      </c>
      <c r="BD137" s="78"/>
      <c r="BE137"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37"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37"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37" s="35">
        <f>IFERROR(INDEX(Production[Input 5],MATCH(IslandModel_1000P[[#This Row],[Building]],Production[Building],0)),"")</f>
        <v>0</v>
      </c>
      <c r="BI137" s="78"/>
      <c r="BJ137"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37"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37"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37" s="35">
        <f>IFERROR(INDEX(Production[Input 6],MATCH(IslandModel_1000P[[#This Row],[Building]],Production[Building],0)),"")</f>
        <v>0</v>
      </c>
      <c r="BN137" s="78"/>
      <c r="BO137"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37"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37"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37" s="35">
        <f>IFERROR(INDEX(Production[Input 7],MATCH(IslandModel_1000P[[#This Row],[Building]],Production[Building],0)),"")</f>
        <v>0</v>
      </c>
      <c r="BS137" s="78"/>
      <c r="BT137"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37"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37"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37" s="35">
        <f>IFERROR(INDEX(Production[Input 8],MATCH(IslandModel_1000P[[#This Row],[Building]],Production[Building],0)),"")</f>
        <v>0</v>
      </c>
      <c r="BX137" s="78"/>
      <c r="BY137"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37"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37"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37" s="35">
        <f>IFERROR(INDEX(Production[Input 9],MATCH(IslandModel_1000P[[#This Row],[Building]],Production[Building],0)),"")</f>
        <v>0</v>
      </c>
      <c r="CC137" s="78"/>
      <c r="CD137"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37"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37"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37" s="35">
        <f>IFERROR(INDEX(Production[Input 10],MATCH(IslandModel_1000P[[#This Row],[Building]],Production[Building],0)),"")</f>
        <v>0</v>
      </c>
      <c r="CH137" s="78"/>
      <c r="CI137"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37"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37"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37"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37" s="82" t="str">
        <f>IslandModel_1000P[[#This Row],[Resource Produced]]</f>
        <v>Iron Ore</v>
      </c>
      <c r="CN137" s="42">
        <f>IslandModel_1000P[[#This Row],[Amount produced/h]]</f>
        <v>15</v>
      </c>
      <c r="CO137" s="42" t="str">
        <f>IslandModel_1000P[[#This Row],[Input 1]]</f>
        <v>Mountain tile</v>
      </c>
      <c r="CP137" s="42">
        <f>-IslandModel_1000P[[#This Row],[Input 1 Consumed]]</f>
        <v>-1</v>
      </c>
      <c r="CQ137" s="42">
        <f>IslandModel_1000P[[#This Row],[Input 2]]</f>
        <v>0</v>
      </c>
      <c r="CR137" s="42">
        <f>-IslandModel_1000P[[#This Row],[Input 2 Consumed]]</f>
        <v>0</v>
      </c>
      <c r="CS137" s="42">
        <f>IslandModel_1000P[[#This Row],[Input 3]]</f>
        <v>0</v>
      </c>
      <c r="CT137" s="42">
        <f>-IslandModel_1000P[[#This Row],[Input 3 Consumed]]</f>
        <v>0</v>
      </c>
      <c r="CU137" s="42">
        <f>IslandModel_1000P[[#This Row],[Input 4]]</f>
        <v>0</v>
      </c>
      <c r="CV137" s="42">
        <f>-IslandModel_1000P[[#This Row],[Input 4 Consumed]]</f>
        <v>0</v>
      </c>
      <c r="CW137" s="42">
        <f>IslandModel_1000P[[#This Row],[Input 5]]</f>
        <v>0</v>
      </c>
      <c r="CX137" s="42">
        <f>-IslandModel_1000P[[#This Row],[Input 5 Consumed]]</f>
        <v>0</v>
      </c>
      <c r="CY137" s="42">
        <f>IslandModel_1000P[[#This Row],[Input 6]]</f>
        <v>0</v>
      </c>
      <c r="CZ137" s="42">
        <f>-IslandModel_1000P[[#This Row],[Input 6 Consumed]]</f>
        <v>0</v>
      </c>
      <c r="DA137" s="42">
        <f>IslandModel_1000P[[#This Row],[Input 7]]</f>
        <v>0</v>
      </c>
      <c r="DB137" s="42">
        <f>-IslandModel_1000P[[#This Row],[Input 7 Consumed]]</f>
        <v>0</v>
      </c>
      <c r="DC137" s="42">
        <f>IslandModel_1000P[[#This Row],[Input 8]]</f>
        <v>0</v>
      </c>
      <c r="DD137" s="42">
        <f>-IslandModel_1000P[[#This Row],[Input 8 Consumed]]</f>
        <v>0</v>
      </c>
      <c r="DE137" s="42">
        <f>IslandModel_1000P[[#This Row],[Input 9]]</f>
        <v>0</v>
      </c>
      <c r="DF137" s="42">
        <f>-IslandModel_1000P[[#This Row],[Input 9 Consumed]]</f>
        <v>0</v>
      </c>
      <c r="DG137" s="42">
        <f>IslandModel_1000P[[#This Row],[Input 10]]</f>
        <v>0</v>
      </c>
      <c r="DH137" s="42">
        <f>-IslandModel_1000P[[#This Row],[Input 10 Consumed]]</f>
        <v>0</v>
      </c>
    </row>
    <row r="138" spans="29:112" ht="21" x14ac:dyDescent="0.65">
      <c r="AC138" s="103" t="s">
        <v>391</v>
      </c>
      <c r="AD138" s="83">
        <f>ROW()</f>
        <v>138</v>
      </c>
      <c r="AE138" s="74">
        <v>2</v>
      </c>
      <c r="AF138" s="50" t="s">
        <v>155</v>
      </c>
      <c r="AG138" s="18"/>
      <c r="AH138" s="74">
        <v>2</v>
      </c>
      <c r="AI138" s="157">
        <f>IFERROR(IslandModel_1000P[[#This Row],[Quantity]]/IslandModel_1000P[[#This Row],[Target Quantity]],0)</f>
        <v>1</v>
      </c>
      <c r="AJ138" s="61" t="str">
        <f>IFERROR(INDEX(Production[Resource Produced],MATCH(IslandModel_1000P[[#This Row],[Building]],Production[Building],0)),"")</f>
        <v>Iron Ingot</v>
      </c>
      <c r="AK138" s="99">
        <f>IFERROR(IslandModel_1000P[[#This Row],[Quantity]]*INDEX(Production[Production in 1h],MATCH(IslandModel_1000P[[#This Row],[Building]],Production[Building],0))*IslandModel_1000P[[#This Row],[Input Consumption Multiplier]],0)</f>
        <v>15</v>
      </c>
      <c r="AL138" s="115">
        <f>100%</f>
        <v>1</v>
      </c>
      <c r="AM138"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38" s="77" t="str">
        <f>IFERROR(INDEX(Production[Input 1],MATCH(IslandModel_1000P[[#This Row],[Building]],Production[Building],0)),"")</f>
        <v>Land tile</v>
      </c>
      <c r="AO138" s="78"/>
      <c r="AP138"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v>
      </c>
      <c r="AQ138"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696.10416666666652</v>
      </c>
      <c r="AR138"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v>
      </c>
      <c r="AS138" s="35" t="str">
        <f>IFERROR(INDEX(Production[Input 2],MATCH(IslandModel_1000P[[#This Row],[Building]],Production[Building],0)),"")</f>
        <v>Coal</v>
      </c>
      <c r="AT138" s="78"/>
      <c r="AU138"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7.5</v>
      </c>
      <c r="AV138"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82.5</v>
      </c>
      <c r="AW138"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7.5</v>
      </c>
      <c r="AX138" s="35" t="str">
        <f>IFERROR(INDEX(Production[Input 3],MATCH(IslandModel_1000P[[#This Row],[Building]],Production[Building],0)),"")</f>
        <v>Iron Ore</v>
      </c>
      <c r="AY138" s="78"/>
      <c r="AZ138"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15</v>
      </c>
      <c r="BA138"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22.5</v>
      </c>
      <c r="BB138"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15</v>
      </c>
      <c r="BC138" s="35">
        <f>IFERROR(INDEX(Production[Input 4],MATCH(IslandModel_1000P[[#This Row],[Building]],Production[Building],0)),"")</f>
        <v>0</v>
      </c>
      <c r="BD138" s="78"/>
      <c r="BE138"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38"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38"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38" s="35">
        <f>IFERROR(INDEX(Production[Input 5],MATCH(IslandModel_1000P[[#This Row],[Building]],Production[Building],0)),"")</f>
        <v>0</v>
      </c>
      <c r="BI138" s="78"/>
      <c r="BJ138"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38"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38"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38" s="35">
        <f>IFERROR(INDEX(Production[Input 6],MATCH(IslandModel_1000P[[#This Row],[Building]],Production[Building],0)),"")</f>
        <v>0</v>
      </c>
      <c r="BN138" s="78"/>
      <c r="BO138"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38"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38"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38" s="35">
        <f>IFERROR(INDEX(Production[Input 7],MATCH(IslandModel_1000P[[#This Row],[Building]],Production[Building],0)),"")</f>
        <v>0</v>
      </c>
      <c r="BS138" s="78"/>
      <c r="BT138"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38"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38"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38" s="35">
        <f>IFERROR(INDEX(Production[Input 8],MATCH(IslandModel_1000P[[#This Row],[Building]],Production[Building],0)),"")</f>
        <v>0</v>
      </c>
      <c r="BX138" s="78"/>
      <c r="BY138"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38"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38"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38" s="35">
        <f>IFERROR(INDEX(Production[Input 9],MATCH(IslandModel_1000P[[#This Row],[Building]],Production[Building],0)),"")</f>
        <v>0</v>
      </c>
      <c r="CC138" s="78"/>
      <c r="CD138"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38"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38"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38" s="35">
        <f>IFERROR(INDEX(Production[Input 10],MATCH(IslandModel_1000P[[#This Row],[Building]],Production[Building],0)),"")</f>
        <v>0</v>
      </c>
      <c r="CH138" s="78"/>
      <c r="CI138"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38"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38"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38"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38" s="82" t="str">
        <f>IslandModel_1000P[[#This Row],[Resource Produced]]</f>
        <v>Iron Ingot</v>
      </c>
      <c r="CN138" s="42">
        <f>IslandModel_1000P[[#This Row],[Amount produced/h]]</f>
        <v>15</v>
      </c>
      <c r="CO138" s="42" t="str">
        <f>IslandModel_1000P[[#This Row],[Input 1]]</f>
        <v>Land tile</v>
      </c>
      <c r="CP138" s="42">
        <f>-IslandModel_1000P[[#This Row],[Input 1 Consumed]]</f>
        <v>-2</v>
      </c>
      <c r="CQ138" s="42" t="str">
        <f>IslandModel_1000P[[#This Row],[Input 2]]</f>
        <v>Coal</v>
      </c>
      <c r="CR138" s="42">
        <f>-IslandModel_1000P[[#This Row],[Input 2 Consumed]]</f>
        <v>-7.5</v>
      </c>
      <c r="CS138" s="42" t="str">
        <f>IslandModel_1000P[[#This Row],[Input 3]]</f>
        <v>Iron Ore</v>
      </c>
      <c r="CT138" s="42">
        <f>-IslandModel_1000P[[#This Row],[Input 3 Consumed]]</f>
        <v>-15</v>
      </c>
      <c r="CU138" s="42">
        <f>IslandModel_1000P[[#This Row],[Input 4]]</f>
        <v>0</v>
      </c>
      <c r="CV138" s="42">
        <f>-IslandModel_1000P[[#This Row],[Input 4 Consumed]]</f>
        <v>0</v>
      </c>
      <c r="CW138" s="42">
        <f>IslandModel_1000P[[#This Row],[Input 5]]</f>
        <v>0</v>
      </c>
      <c r="CX138" s="42">
        <f>-IslandModel_1000P[[#This Row],[Input 5 Consumed]]</f>
        <v>0</v>
      </c>
      <c r="CY138" s="42">
        <f>IslandModel_1000P[[#This Row],[Input 6]]</f>
        <v>0</v>
      </c>
      <c r="CZ138" s="42">
        <f>-IslandModel_1000P[[#This Row],[Input 6 Consumed]]</f>
        <v>0</v>
      </c>
      <c r="DA138" s="42">
        <f>IslandModel_1000P[[#This Row],[Input 7]]</f>
        <v>0</v>
      </c>
      <c r="DB138" s="42">
        <f>-IslandModel_1000P[[#This Row],[Input 7 Consumed]]</f>
        <v>0</v>
      </c>
      <c r="DC138" s="42">
        <f>IslandModel_1000P[[#This Row],[Input 8]]</f>
        <v>0</v>
      </c>
      <c r="DD138" s="42">
        <f>-IslandModel_1000P[[#This Row],[Input 8 Consumed]]</f>
        <v>0</v>
      </c>
      <c r="DE138" s="42">
        <f>IslandModel_1000P[[#This Row],[Input 9]]</f>
        <v>0</v>
      </c>
      <c r="DF138" s="42">
        <f>-IslandModel_1000P[[#This Row],[Input 9 Consumed]]</f>
        <v>0</v>
      </c>
      <c r="DG138" s="42">
        <f>IslandModel_1000P[[#This Row],[Input 10]]</f>
        <v>0</v>
      </c>
      <c r="DH138" s="42">
        <f>-IslandModel_1000P[[#This Row],[Input 10 Consumed]]</f>
        <v>0</v>
      </c>
    </row>
    <row r="139" spans="29:112" ht="21" x14ac:dyDescent="0.65">
      <c r="AC139" s="103" t="s">
        <v>391</v>
      </c>
      <c r="AD139" s="83">
        <f>ROW()</f>
        <v>139</v>
      </c>
      <c r="AE139" s="74">
        <v>1</v>
      </c>
      <c r="AF139" s="50" t="s">
        <v>444</v>
      </c>
      <c r="AG139" s="18"/>
      <c r="AH139" s="74">
        <v>1</v>
      </c>
      <c r="AI139" s="157">
        <f>IFERROR(IslandModel_1000P[[#This Row],[Quantity]]/IslandModel_1000P[[#This Row],[Target Quantity]],0)</f>
        <v>1</v>
      </c>
      <c r="AJ139" s="61" t="str">
        <f>IFERROR(INDEX(Production[Resource Produced],MATCH(IslandModel_1000P[[#This Row],[Building]],Production[Building],0)),"")</f>
        <v>Metal Cuttings</v>
      </c>
      <c r="AK139" s="99">
        <f>IFERROR(IslandModel_1000P[[#This Row],[Quantity]]*INDEX(Production[Production in 1h],MATCH(IslandModel_1000P[[#This Row],[Building]],Production[Building],0))*IslandModel_1000P[[#This Row],[Input Consumption Multiplier]],0)</f>
        <v>30</v>
      </c>
      <c r="AL139" s="115">
        <f>100%</f>
        <v>1</v>
      </c>
      <c r="AM139"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39" s="77" t="str">
        <f>IFERROR(INDEX(Production[Input 1],MATCH(IslandModel_1000P[[#This Row],[Building]],Production[Building],0)),"")</f>
        <v>Land tile</v>
      </c>
      <c r="AO139" s="78"/>
      <c r="AP139"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v>
      </c>
      <c r="AQ139"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694.10416666666652</v>
      </c>
      <c r="AR139"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v>
      </c>
      <c r="AS139" s="35" t="str">
        <f>IFERROR(INDEX(Production[Input 2],MATCH(IslandModel_1000P[[#This Row],[Building]],Production[Building],0)),"")</f>
        <v>Iron Ingot</v>
      </c>
      <c r="AT139" s="78"/>
      <c r="AU139"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15</v>
      </c>
      <c r="AV139"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15</v>
      </c>
      <c r="AW139"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15</v>
      </c>
      <c r="AX139" s="35" t="str">
        <f>IFERROR(INDEX(Production[Input 3],MATCH(IslandModel_1000P[[#This Row],[Building]],Production[Building],0)),"")</f>
        <v>Copper Ingot</v>
      </c>
      <c r="AY139" s="78"/>
      <c r="AZ139"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15</v>
      </c>
      <c r="BA139"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20</v>
      </c>
      <c r="BB139"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15</v>
      </c>
      <c r="BC139" s="35">
        <f>IFERROR(INDEX(Production[Input 4],MATCH(IslandModel_1000P[[#This Row],[Building]],Production[Building],0)),"")</f>
        <v>0</v>
      </c>
      <c r="BD139" s="78"/>
      <c r="BE139"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39"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39"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39" s="35">
        <f>IFERROR(INDEX(Production[Input 5],MATCH(IslandModel_1000P[[#This Row],[Building]],Production[Building],0)),"")</f>
        <v>0</v>
      </c>
      <c r="BI139" s="78"/>
      <c r="BJ139"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39"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39"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39" s="35">
        <f>IFERROR(INDEX(Production[Input 6],MATCH(IslandModel_1000P[[#This Row],[Building]],Production[Building],0)),"")</f>
        <v>0</v>
      </c>
      <c r="BN139" s="78"/>
      <c r="BO139"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39"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39"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39" s="35">
        <f>IFERROR(INDEX(Production[Input 7],MATCH(IslandModel_1000P[[#This Row],[Building]],Production[Building],0)),"")</f>
        <v>0</v>
      </c>
      <c r="BS139" s="78"/>
      <c r="BT139"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39"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39"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39" s="35">
        <f>IFERROR(INDEX(Production[Input 8],MATCH(IslandModel_1000P[[#This Row],[Building]],Production[Building],0)),"")</f>
        <v>0</v>
      </c>
      <c r="BX139" s="78"/>
      <c r="BY139"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39"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39"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39" s="35">
        <f>IFERROR(INDEX(Production[Input 9],MATCH(IslandModel_1000P[[#This Row],[Building]],Production[Building],0)),"")</f>
        <v>0</v>
      </c>
      <c r="CC139" s="78"/>
      <c r="CD139"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39"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39"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39" s="35">
        <f>IFERROR(INDEX(Production[Input 10],MATCH(IslandModel_1000P[[#This Row],[Building]],Production[Building],0)),"")</f>
        <v>0</v>
      </c>
      <c r="CH139" s="78"/>
      <c r="CI139"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39"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39"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39"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39" s="82" t="str">
        <f>IslandModel_1000P[[#This Row],[Resource Produced]]</f>
        <v>Metal Cuttings</v>
      </c>
      <c r="CN139" s="42">
        <f>IslandModel_1000P[[#This Row],[Amount produced/h]]</f>
        <v>30</v>
      </c>
      <c r="CO139" s="42" t="str">
        <f>IslandModel_1000P[[#This Row],[Input 1]]</f>
        <v>Land tile</v>
      </c>
      <c r="CP139" s="42">
        <f>-IslandModel_1000P[[#This Row],[Input 1 Consumed]]</f>
        <v>-1</v>
      </c>
      <c r="CQ139" s="42" t="str">
        <f>IslandModel_1000P[[#This Row],[Input 2]]</f>
        <v>Iron Ingot</v>
      </c>
      <c r="CR139" s="42">
        <f>-IslandModel_1000P[[#This Row],[Input 2 Consumed]]</f>
        <v>-15</v>
      </c>
      <c r="CS139" s="42" t="str">
        <f>IslandModel_1000P[[#This Row],[Input 3]]</f>
        <v>Copper Ingot</v>
      </c>
      <c r="CT139" s="42">
        <f>-IslandModel_1000P[[#This Row],[Input 3 Consumed]]</f>
        <v>-15</v>
      </c>
      <c r="CU139" s="42">
        <f>IslandModel_1000P[[#This Row],[Input 4]]</f>
        <v>0</v>
      </c>
      <c r="CV139" s="42">
        <f>-IslandModel_1000P[[#This Row],[Input 4 Consumed]]</f>
        <v>0</v>
      </c>
      <c r="CW139" s="42">
        <f>IslandModel_1000P[[#This Row],[Input 5]]</f>
        <v>0</v>
      </c>
      <c r="CX139" s="42">
        <f>-IslandModel_1000P[[#This Row],[Input 5 Consumed]]</f>
        <v>0</v>
      </c>
      <c r="CY139" s="42">
        <f>IslandModel_1000P[[#This Row],[Input 6]]</f>
        <v>0</v>
      </c>
      <c r="CZ139" s="42">
        <f>-IslandModel_1000P[[#This Row],[Input 6 Consumed]]</f>
        <v>0</v>
      </c>
      <c r="DA139" s="42">
        <f>IslandModel_1000P[[#This Row],[Input 7]]</f>
        <v>0</v>
      </c>
      <c r="DB139" s="42">
        <f>-IslandModel_1000P[[#This Row],[Input 7 Consumed]]</f>
        <v>0</v>
      </c>
      <c r="DC139" s="42">
        <f>IslandModel_1000P[[#This Row],[Input 8]]</f>
        <v>0</v>
      </c>
      <c r="DD139" s="42">
        <f>-IslandModel_1000P[[#This Row],[Input 8 Consumed]]</f>
        <v>0</v>
      </c>
      <c r="DE139" s="42">
        <f>IslandModel_1000P[[#This Row],[Input 9]]</f>
        <v>0</v>
      </c>
      <c r="DF139" s="42">
        <f>-IslandModel_1000P[[#This Row],[Input 9 Consumed]]</f>
        <v>0</v>
      </c>
      <c r="DG139" s="42">
        <f>IslandModel_1000P[[#This Row],[Input 10]]</f>
        <v>0</v>
      </c>
      <c r="DH139" s="42">
        <f>-IslandModel_1000P[[#This Row],[Input 10 Consumed]]</f>
        <v>0</v>
      </c>
    </row>
    <row r="140" spans="29:112" ht="21" x14ac:dyDescent="0.65">
      <c r="AC140" s="103" t="s">
        <v>391</v>
      </c>
      <c r="AD140" s="83">
        <f>ROW()</f>
        <v>140</v>
      </c>
      <c r="AE140" s="74">
        <v>1</v>
      </c>
      <c r="AF140" s="50" t="s">
        <v>445</v>
      </c>
      <c r="AG140" s="101"/>
      <c r="AH140" s="74">
        <v>1</v>
      </c>
      <c r="AI140" s="157">
        <f>IFERROR(IslandModel_1000P[[#This Row],[Quantity]]/IslandModel_1000P[[#This Row],[Target Quantity]],0)</f>
        <v>1</v>
      </c>
      <c r="AJ140" s="61" t="str">
        <f>IFERROR(INDEX(Production[Resource Produced],MATCH(IslandModel_1000P[[#This Row],[Building]],Production[Building],0)),"")</f>
        <v>Fireworks</v>
      </c>
      <c r="AK140" s="99">
        <f>IFERROR(IslandModel_1000P[[#This Row],[Quantity]]*INDEX(Production[Production in 1h],MATCH(IslandModel_1000P[[#This Row],[Building]],Production[Building],0))*IslandModel_1000P[[#This Row],[Input Consumption Multiplier]],0)</f>
        <v>15</v>
      </c>
      <c r="AL140" s="115">
        <f>100%</f>
        <v>1</v>
      </c>
      <c r="AM140"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40" s="77" t="str">
        <f>IFERROR(INDEX(Production[Input 1],MATCH(IslandModel_1000P[[#This Row],[Building]],Production[Building],0)),"")</f>
        <v>Land tile</v>
      </c>
      <c r="AO140" s="78"/>
      <c r="AP140"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v>
      </c>
      <c r="AQ140"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693.10416666666652</v>
      </c>
      <c r="AR140"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v>
      </c>
      <c r="AS140" s="35" t="str">
        <f>IFERROR(INDEX(Production[Input 2],MATCH(IslandModel_1000P[[#This Row],[Building]],Production[Building],0)),"")</f>
        <v>Gunpowder</v>
      </c>
      <c r="AT140" s="78"/>
      <c r="AU140"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30</v>
      </c>
      <c r="AV140"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30</v>
      </c>
      <c r="AW140"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30</v>
      </c>
      <c r="AX140" s="35" t="str">
        <f>IFERROR(INDEX(Production[Input 3],MATCH(IslandModel_1000P[[#This Row],[Building]],Production[Building],0)),"")</f>
        <v>Metal Cuttings</v>
      </c>
      <c r="AY140" s="78"/>
      <c r="AZ140"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30</v>
      </c>
      <c r="BA140"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30</v>
      </c>
      <c r="BB140"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30</v>
      </c>
      <c r="BC140" s="35">
        <f>IFERROR(INDEX(Production[Input 4],MATCH(IslandModel_1000P[[#This Row],[Building]],Production[Building],0)),"")</f>
        <v>0</v>
      </c>
      <c r="BD140" s="78"/>
      <c r="BE140"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40"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40"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40" s="35">
        <f>IFERROR(INDEX(Production[Input 5],MATCH(IslandModel_1000P[[#This Row],[Building]],Production[Building],0)),"")</f>
        <v>0</v>
      </c>
      <c r="BI140" s="78"/>
      <c r="BJ140"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40"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40"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40" s="35">
        <f>IFERROR(INDEX(Production[Input 6],MATCH(IslandModel_1000P[[#This Row],[Building]],Production[Building],0)),"")</f>
        <v>0</v>
      </c>
      <c r="BN140" s="78"/>
      <c r="BO140"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40"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40"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40" s="35">
        <f>IFERROR(INDEX(Production[Input 7],MATCH(IslandModel_1000P[[#This Row],[Building]],Production[Building],0)),"")</f>
        <v>0</v>
      </c>
      <c r="BS140" s="78"/>
      <c r="BT140"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40"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40"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40" s="35">
        <f>IFERROR(INDEX(Production[Input 8],MATCH(IslandModel_1000P[[#This Row],[Building]],Production[Building],0)),"")</f>
        <v>0</v>
      </c>
      <c r="BX140" s="78"/>
      <c r="BY140"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40"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40"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40" s="35">
        <f>IFERROR(INDEX(Production[Input 9],MATCH(IslandModel_1000P[[#This Row],[Building]],Production[Building],0)),"")</f>
        <v>0</v>
      </c>
      <c r="CC140" s="78"/>
      <c r="CD140"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40"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40"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40" s="35">
        <f>IFERROR(INDEX(Production[Input 10],MATCH(IslandModel_1000P[[#This Row],[Building]],Production[Building],0)),"")</f>
        <v>0</v>
      </c>
      <c r="CH140" s="78"/>
      <c r="CI140"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40"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40"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40"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40" s="82" t="str">
        <f>IslandModel_1000P[[#This Row],[Resource Produced]]</f>
        <v>Fireworks</v>
      </c>
      <c r="CN140" s="42">
        <f>IslandModel_1000P[[#This Row],[Amount produced/h]]</f>
        <v>15</v>
      </c>
      <c r="CO140" s="42" t="str">
        <f>IslandModel_1000P[[#This Row],[Input 1]]</f>
        <v>Land tile</v>
      </c>
      <c r="CP140" s="42">
        <f>-IslandModel_1000P[[#This Row],[Input 1 Consumed]]</f>
        <v>-1</v>
      </c>
      <c r="CQ140" s="42" t="str">
        <f>IslandModel_1000P[[#This Row],[Input 2]]</f>
        <v>Gunpowder</v>
      </c>
      <c r="CR140" s="42">
        <f>-IslandModel_1000P[[#This Row],[Input 2 Consumed]]</f>
        <v>-30</v>
      </c>
      <c r="CS140" s="42" t="str">
        <f>IslandModel_1000P[[#This Row],[Input 3]]</f>
        <v>Metal Cuttings</v>
      </c>
      <c r="CT140" s="42">
        <f>-IslandModel_1000P[[#This Row],[Input 3 Consumed]]</f>
        <v>-30</v>
      </c>
      <c r="CU140" s="42">
        <f>IslandModel_1000P[[#This Row],[Input 4]]</f>
        <v>0</v>
      </c>
      <c r="CV140" s="42">
        <f>-IslandModel_1000P[[#This Row],[Input 4 Consumed]]</f>
        <v>0</v>
      </c>
      <c r="CW140" s="42">
        <f>IslandModel_1000P[[#This Row],[Input 5]]</f>
        <v>0</v>
      </c>
      <c r="CX140" s="42">
        <f>-IslandModel_1000P[[#This Row],[Input 5 Consumed]]</f>
        <v>0</v>
      </c>
      <c r="CY140" s="42">
        <f>IslandModel_1000P[[#This Row],[Input 6]]</f>
        <v>0</v>
      </c>
      <c r="CZ140" s="42">
        <f>-IslandModel_1000P[[#This Row],[Input 6 Consumed]]</f>
        <v>0</v>
      </c>
      <c r="DA140" s="42">
        <f>IslandModel_1000P[[#This Row],[Input 7]]</f>
        <v>0</v>
      </c>
      <c r="DB140" s="42">
        <f>-IslandModel_1000P[[#This Row],[Input 7 Consumed]]</f>
        <v>0</v>
      </c>
      <c r="DC140" s="42">
        <f>IslandModel_1000P[[#This Row],[Input 8]]</f>
        <v>0</v>
      </c>
      <c r="DD140" s="42">
        <f>-IslandModel_1000P[[#This Row],[Input 8 Consumed]]</f>
        <v>0</v>
      </c>
      <c r="DE140" s="42">
        <f>IslandModel_1000P[[#This Row],[Input 9]]</f>
        <v>0</v>
      </c>
      <c r="DF140" s="42">
        <f>-IslandModel_1000P[[#This Row],[Input 9 Consumed]]</f>
        <v>0</v>
      </c>
      <c r="DG140" s="42">
        <f>IslandModel_1000P[[#This Row],[Input 10]]</f>
        <v>0</v>
      </c>
      <c r="DH140" s="42">
        <f>-IslandModel_1000P[[#This Row],[Input 10 Consumed]]</f>
        <v>0</v>
      </c>
    </row>
    <row r="141" spans="29:112" ht="21" x14ac:dyDescent="0.65">
      <c r="AC141" s="103" t="s">
        <v>87</v>
      </c>
      <c r="AD141" s="83">
        <f>ROW()</f>
        <v>141</v>
      </c>
      <c r="AE141" s="74">
        <v>1</v>
      </c>
      <c r="AF141" s="72" t="s">
        <v>138</v>
      </c>
      <c r="AG141" s="18"/>
      <c r="AH141" s="74">
        <v>1</v>
      </c>
      <c r="AI141" s="157">
        <f>IFERROR(IslandModel_1000P[[#This Row],[Quantity]]/IslandModel_1000P[[#This Row],[Target Quantity]],0)</f>
        <v>1</v>
      </c>
      <c r="AJ141" s="61" t="str">
        <f>IFERROR(INDEX(Production[Resource Produced],MATCH(IslandModel_1000P[[#This Row],[Building]],Production[Building],0)),"")</f>
        <v>Coal</v>
      </c>
      <c r="AK141" s="99">
        <f>IFERROR(IslandModel_1000P[[#This Row],[Quantity]]*INDEX(Production[Production in 1h],MATCH(IslandModel_1000P[[#This Row],[Building]],Production[Building],0))*IslandModel_1000P[[#This Row],[Input Consumption Multiplier]],0)</f>
        <v>30</v>
      </c>
      <c r="AL141" s="115">
        <f>100%</f>
        <v>1</v>
      </c>
      <c r="AM141"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41" s="77" t="str">
        <f>IFERROR(INDEX(Production[Input 1],MATCH(IslandModel_1000P[[#This Row],[Building]],Production[Building],0)),"")</f>
        <v>Mountain tile</v>
      </c>
      <c r="AO141" s="78"/>
      <c r="AP141"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v>
      </c>
      <c r="AQ141"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290</v>
      </c>
      <c r="AR141"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v>
      </c>
      <c r="AS141" s="35">
        <f>IFERROR(INDEX(Production[Input 2],MATCH(IslandModel_1000P[[#This Row],[Building]],Production[Building],0)),"")</f>
        <v>0</v>
      </c>
      <c r="AT141" s="78"/>
      <c r="AU141"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41"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41"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41" s="35">
        <f>IFERROR(INDEX(Production[Input 3],MATCH(IslandModel_1000P[[#This Row],[Building]],Production[Building],0)),"")</f>
        <v>0</v>
      </c>
      <c r="AY141" s="78"/>
      <c r="AZ141"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41"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41"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41" s="35">
        <f>IFERROR(INDEX(Production[Input 4],MATCH(IslandModel_1000P[[#This Row],[Building]],Production[Building],0)),"")</f>
        <v>0</v>
      </c>
      <c r="BD141" s="78"/>
      <c r="BE141"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41"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41"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41" s="35">
        <f>IFERROR(INDEX(Production[Input 5],MATCH(IslandModel_1000P[[#This Row],[Building]],Production[Building],0)),"")</f>
        <v>0</v>
      </c>
      <c r="BI141" s="78"/>
      <c r="BJ141"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41"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41"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41" s="35">
        <f>IFERROR(INDEX(Production[Input 6],MATCH(IslandModel_1000P[[#This Row],[Building]],Production[Building],0)),"")</f>
        <v>0</v>
      </c>
      <c r="BN141" s="78"/>
      <c r="BO141"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41"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41"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41" s="35">
        <f>IFERROR(INDEX(Production[Input 7],MATCH(IslandModel_1000P[[#This Row],[Building]],Production[Building],0)),"")</f>
        <v>0</v>
      </c>
      <c r="BS141" s="78"/>
      <c r="BT141"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41"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41"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41" s="35">
        <f>IFERROR(INDEX(Production[Input 8],MATCH(IslandModel_1000P[[#This Row],[Building]],Production[Building],0)),"")</f>
        <v>0</v>
      </c>
      <c r="BX141" s="78"/>
      <c r="BY141"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41"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41"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41" s="35">
        <f>IFERROR(INDEX(Production[Input 9],MATCH(IslandModel_1000P[[#This Row],[Building]],Production[Building],0)),"")</f>
        <v>0</v>
      </c>
      <c r="CC141" s="78"/>
      <c r="CD141"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41"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41"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41" s="35">
        <f>IFERROR(INDEX(Production[Input 10],MATCH(IslandModel_1000P[[#This Row],[Building]],Production[Building],0)),"")</f>
        <v>0</v>
      </c>
      <c r="CH141" s="78"/>
      <c r="CI141"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41"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41"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41"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41" s="82" t="str">
        <f>IslandModel_1000P[[#This Row],[Resource Produced]]</f>
        <v>Coal</v>
      </c>
      <c r="CN141" s="42">
        <f>IslandModel_1000P[[#This Row],[Amount produced/h]]</f>
        <v>30</v>
      </c>
      <c r="CO141" s="42" t="str">
        <f>IslandModel_1000P[[#This Row],[Input 1]]</f>
        <v>Mountain tile</v>
      </c>
      <c r="CP141" s="42">
        <f>-IslandModel_1000P[[#This Row],[Input 1 Consumed]]</f>
        <v>-1</v>
      </c>
      <c r="CQ141" s="42">
        <f>IslandModel_1000P[[#This Row],[Input 2]]</f>
        <v>0</v>
      </c>
      <c r="CR141" s="42">
        <f>-IslandModel_1000P[[#This Row],[Input 2 Consumed]]</f>
        <v>0</v>
      </c>
      <c r="CS141" s="42">
        <f>IslandModel_1000P[[#This Row],[Input 3]]</f>
        <v>0</v>
      </c>
      <c r="CT141" s="42">
        <f>-IslandModel_1000P[[#This Row],[Input 3 Consumed]]</f>
        <v>0</v>
      </c>
      <c r="CU141" s="42">
        <f>IslandModel_1000P[[#This Row],[Input 4]]</f>
        <v>0</v>
      </c>
      <c r="CV141" s="42">
        <f>-IslandModel_1000P[[#This Row],[Input 4 Consumed]]</f>
        <v>0</v>
      </c>
      <c r="CW141" s="42">
        <f>IslandModel_1000P[[#This Row],[Input 5]]</f>
        <v>0</v>
      </c>
      <c r="CX141" s="42">
        <f>-IslandModel_1000P[[#This Row],[Input 5 Consumed]]</f>
        <v>0</v>
      </c>
      <c r="CY141" s="42">
        <f>IslandModel_1000P[[#This Row],[Input 6]]</f>
        <v>0</v>
      </c>
      <c r="CZ141" s="42">
        <f>-IslandModel_1000P[[#This Row],[Input 6 Consumed]]</f>
        <v>0</v>
      </c>
      <c r="DA141" s="42">
        <f>IslandModel_1000P[[#This Row],[Input 7]]</f>
        <v>0</v>
      </c>
      <c r="DB141" s="42">
        <f>-IslandModel_1000P[[#This Row],[Input 7 Consumed]]</f>
        <v>0</v>
      </c>
      <c r="DC141" s="42">
        <f>IslandModel_1000P[[#This Row],[Input 8]]</f>
        <v>0</v>
      </c>
      <c r="DD141" s="42">
        <f>-IslandModel_1000P[[#This Row],[Input 8 Consumed]]</f>
        <v>0</v>
      </c>
      <c r="DE141" s="42">
        <f>IslandModel_1000P[[#This Row],[Input 9]]</f>
        <v>0</v>
      </c>
      <c r="DF141" s="42">
        <f>-IslandModel_1000P[[#This Row],[Input 9 Consumed]]</f>
        <v>0</v>
      </c>
      <c r="DG141" s="42">
        <f>IslandModel_1000P[[#This Row],[Input 10]]</f>
        <v>0</v>
      </c>
      <c r="DH141" s="42">
        <f>-IslandModel_1000P[[#This Row],[Input 10 Consumed]]</f>
        <v>0</v>
      </c>
    </row>
    <row r="142" spans="29:112" ht="21" x14ac:dyDescent="0.65">
      <c r="AC142" s="103" t="s">
        <v>87</v>
      </c>
      <c r="AD142" s="83">
        <f>ROW()</f>
        <v>142</v>
      </c>
      <c r="AE142" s="74"/>
      <c r="AF142" s="72" t="s">
        <v>50</v>
      </c>
      <c r="AG142" s="18"/>
      <c r="AH142" s="74"/>
      <c r="AI142" s="157">
        <f>IFERROR(IslandModel_1000P[[#This Row],[Quantity]]/IslandModel_1000P[[#This Row],[Target Quantity]],0)</f>
        <v>0</v>
      </c>
      <c r="AJ142" s="61" t="str">
        <f>IFERROR(INDEX(Production[Resource Produced],MATCH(IslandModel_1000P[[#This Row],[Building]],Production[Building],0)),"")</f>
        <v>Wood</v>
      </c>
      <c r="AK142" s="99">
        <f>IFERROR(IslandModel_1000P[[#This Row],[Quantity]]*INDEX(Production[Production in 1h],MATCH(IslandModel_1000P[[#This Row],[Building]],Production[Building],0))*IslandModel_1000P[[#This Row],[Input Consumption Multiplier]],0)</f>
        <v>0</v>
      </c>
      <c r="AL142" s="115">
        <f>100%</f>
        <v>1</v>
      </c>
      <c r="AM142"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42" s="77" t="str">
        <f>IFERROR(INDEX(Production[Input 1],MATCH(IslandModel_1000P[[#This Row],[Building]],Production[Building],0)),"")</f>
        <v>Land tile</v>
      </c>
      <c r="AO142" s="78"/>
      <c r="AP142"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142"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692.10416666666652</v>
      </c>
      <c r="AR142"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142" s="35">
        <f>IFERROR(INDEX(Production[Input 2],MATCH(IslandModel_1000P[[#This Row],[Building]],Production[Building],0)),"")</f>
        <v>0</v>
      </c>
      <c r="AT142" s="78"/>
      <c r="AU142"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42"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42"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42" s="35">
        <f>IFERROR(INDEX(Production[Input 3],MATCH(IslandModel_1000P[[#This Row],[Building]],Production[Building],0)),"")</f>
        <v>0</v>
      </c>
      <c r="AY142" s="78"/>
      <c r="AZ142"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42"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42"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42" s="35">
        <f>IFERROR(INDEX(Production[Input 4],MATCH(IslandModel_1000P[[#This Row],[Building]],Production[Building],0)),"")</f>
        <v>0</v>
      </c>
      <c r="BD142" s="78"/>
      <c r="BE142"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42"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42"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42" s="35">
        <f>IFERROR(INDEX(Production[Input 5],MATCH(IslandModel_1000P[[#This Row],[Building]],Production[Building],0)),"")</f>
        <v>0</v>
      </c>
      <c r="BI142" s="78"/>
      <c r="BJ142"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42"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42"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42" s="35">
        <f>IFERROR(INDEX(Production[Input 6],MATCH(IslandModel_1000P[[#This Row],[Building]],Production[Building],0)),"")</f>
        <v>0</v>
      </c>
      <c r="BN142" s="78"/>
      <c r="BO142"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42"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42"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42" s="35">
        <f>IFERROR(INDEX(Production[Input 7],MATCH(IslandModel_1000P[[#This Row],[Building]],Production[Building],0)),"")</f>
        <v>0</v>
      </c>
      <c r="BS142" s="78"/>
      <c r="BT142"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42"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42"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42" s="35">
        <f>IFERROR(INDEX(Production[Input 8],MATCH(IslandModel_1000P[[#This Row],[Building]],Production[Building],0)),"")</f>
        <v>0</v>
      </c>
      <c r="BX142" s="78"/>
      <c r="BY142"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42"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42"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42" s="35">
        <f>IFERROR(INDEX(Production[Input 9],MATCH(IslandModel_1000P[[#This Row],[Building]],Production[Building],0)),"")</f>
        <v>0</v>
      </c>
      <c r="CC142" s="78"/>
      <c r="CD142"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42"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42"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42" s="35">
        <f>IFERROR(INDEX(Production[Input 10],MATCH(IslandModel_1000P[[#This Row],[Building]],Production[Building],0)),"")</f>
        <v>0</v>
      </c>
      <c r="CH142" s="78"/>
      <c r="CI142"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42"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42"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42"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42" s="82" t="str">
        <f>IslandModel_1000P[[#This Row],[Resource Produced]]</f>
        <v>Wood</v>
      </c>
      <c r="CN142" s="42">
        <f>IslandModel_1000P[[#This Row],[Amount produced/h]]</f>
        <v>0</v>
      </c>
      <c r="CO142" s="42" t="str">
        <f>IslandModel_1000P[[#This Row],[Input 1]]</f>
        <v>Land tile</v>
      </c>
      <c r="CP142" s="42">
        <f>-IslandModel_1000P[[#This Row],[Input 1 Consumed]]</f>
        <v>0</v>
      </c>
      <c r="CQ142" s="42">
        <f>IslandModel_1000P[[#This Row],[Input 2]]</f>
        <v>0</v>
      </c>
      <c r="CR142" s="42">
        <f>-IslandModel_1000P[[#This Row],[Input 2 Consumed]]</f>
        <v>0</v>
      </c>
      <c r="CS142" s="42">
        <f>IslandModel_1000P[[#This Row],[Input 3]]</f>
        <v>0</v>
      </c>
      <c r="CT142" s="42">
        <f>-IslandModel_1000P[[#This Row],[Input 3 Consumed]]</f>
        <v>0</v>
      </c>
      <c r="CU142" s="42">
        <f>IslandModel_1000P[[#This Row],[Input 4]]</f>
        <v>0</v>
      </c>
      <c r="CV142" s="42">
        <f>-IslandModel_1000P[[#This Row],[Input 4 Consumed]]</f>
        <v>0</v>
      </c>
      <c r="CW142" s="42">
        <f>IslandModel_1000P[[#This Row],[Input 5]]</f>
        <v>0</v>
      </c>
      <c r="CX142" s="42">
        <f>-IslandModel_1000P[[#This Row],[Input 5 Consumed]]</f>
        <v>0</v>
      </c>
      <c r="CY142" s="42">
        <f>IslandModel_1000P[[#This Row],[Input 6]]</f>
        <v>0</v>
      </c>
      <c r="CZ142" s="42">
        <f>-IslandModel_1000P[[#This Row],[Input 6 Consumed]]</f>
        <v>0</v>
      </c>
      <c r="DA142" s="42">
        <f>IslandModel_1000P[[#This Row],[Input 7]]</f>
        <v>0</v>
      </c>
      <c r="DB142" s="42">
        <f>-IslandModel_1000P[[#This Row],[Input 7 Consumed]]</f>
        <v>0</v>
      </c>
      <c r="DC142" s="42">
        <f>IslandModel_1000P[[#This Row],[Input 8]]</f>
        <v>0</v>
      </c>
      <c r="DD142" s="42">
        <f>-IslandModel_1000P[[#This Row],[Input 8 Consumed]]</f>
        <v>0</v>
      </c>
      <c r="DE142" s="42">
        <f>IslandModel_1000P[[#This Row],[Input 9]]</f>
        <v>0</v>
      </c>
      <c r="DF142" s="42">
        <f>-IslandModel_1000P[[#This Row],[Input 9 Consumed]]</f>
        <v>0</v>
      </c>
      <c r="DG142" s="42">
        <f>IslandModel_1000P[[#This Row],[Input 10]]</f>
        <v>0</v>
      </c>
      <c r="DH142" s="42">
        <f>-IslandModel_1000P[[#This Row],[Input 10 Consumed]]</f>
        <v>0</v>
      </c>
    </row>
    <row r="143" spans="29:112" ht="21" x14ac:dyDescent="0.65">
      <c r="AC143" s="103" t="s">
        <v>87</v>
      </c>
      <c r="AD143" s="83">
        <f>ROW()</f>
        <v>143</v>
      </c>
      <c r="AE143" s="74"/>
      <c r="AF143" s="72" t="s">
        <v>858</v>
      </c>
      <c r="AG143" s="18"/>
      <c r="AH143" s="74"/>
      <c r="AI143" s="157">
        <f>IFERROR(IslandModel_1000P[[#This Row],[Quantity]]/IslandModel_1000P[[#This Row],[Target Quantity]],0)</f>
        <v>0</v>
      </c>
      <c r="AJ143" s="61" t="str">
        <f>IFERROR(INDEX(Production[Resource Produced],MATCH(IslandModel_1000P[[#This Row],[Building]],Production[Building],0)),"")</f>
        <v>Coal</v>
      </c>
      <c r="AK143" s="99">
        <f>IFERROR(IslandModel_1000P[[#This Row],[Quantity]]*INDEX(Production[Production in 1h],MATCH(IslandModel_1000P[[#This Row],[Building]],Production[Building],0))*IslandModel_1000P[[#This Row],[Input Consumption Multiplier]],0)</f>
        <v>0</v>
      </c>
      <c r="AL143" s="115">
        <f>100%</f>
        <v>1</v>
      </c>
      <c r="AM143"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43" s="77" t="str">
        <f>IFERROR(INDEX(Production[Input 1],MATCH(IslandModel_1000P[[#This Row],[Building]],Production[Building],0)),"")</f>
        <v>Land tile</v>
      </c>
      <c r="AO143" s="78"/>
      <c r="AP143"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0</v>
      </c>
      <c r="AQ143"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692.10416666666652</v>
      </c>
      <c r="AR143"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0</v>
      </c>
      <c r="AS143" s="35" t="str">
        <f>IFERROR(INDEX(Production[Input 2],MATCH(IslandModel_1000P[[#This Row],[Building]],Production[Building],0)),"")</f>
        <v>Wood</v>
      </c>
      <c r="AT143" s="78"/>
      <c r="AU143"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43"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615</v>
      </c>
      <c r="AW143"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43" s="35">
        <f>IFERROR(INDEX(Production[Input 3],MATCH(IslandModel_1000P[[#This Row],[Building]],Production[Building],0)),"")</f>
        <v>0</v>
      </c>
      <c r="AY143" s="78"/>
      <c r="AZ143"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43"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43"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43" s="35">
        <f>IFERROR(INDEX(Production[Input 4],MATCH(IslandModel_1000P[[#This Row],[Building]],Production[Building],0)),"")</f>
        <v>0</v>
      </c>
      <c r="BD143" s="78"/>
      <c r="BE143"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43"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43"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43" s="35">
        <f>IFERROR(INDEX(Production[Input 5],MATCH(IslandModel_1000P[[#This Row],[Building]],Production[Building],0)),"")</f>
        <v>0</v>
      </c>
      <c r="BI143" s="78"/>
      <c r="BJ143"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43"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43"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43" s="35">
        <f>IFERROR(INDEX(Production[Input 6],MATCH(IslandModel_1000P[[#This Row],[Building]],Production[Building],0)),"")</f>
        <v>0</v>
      </c>
      <c r="BN143" s="78"/>
      <c r="BO143"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43"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43"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43" s="35">
        <f>IFERROR(INDEX(Production[Input 7],MATCH(IslandModel_1000P[[#This Row],[Building]],Production[Building],0)),"")</f>
        <v>0</v>
      </c>
      <c r="BS143" s="78"/>
      <c r="BT143"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43"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43"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43" s="35">
        <f>IFERROR(INDEX(Production[Input 8],MATCH(IslandModel_1000P[[#This Row],[Building]],Production[Building],0)),"")</f>
        <v>0</v>
      </c>
      <c r="BX143" s="78"/>
      <c r="BY143"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43"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43"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43" s="35">
        <f>IFERROR(INDEX(Production[Input 9],MATCH(IslandModel_1000P[[#This Row],[Building]],Production[Building],0)),"")</f>
        <v>0</v>
      </c>
      <c r="CC143" s="78"/>
      <c r="CD143"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43"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43"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43" s="35">
        <f>IFERROR(INDEX(Production[Input 10],MATCH(IslandModel_1000P[[#This Row],[Building]],Production[Building],0)),"")</f>
        <v>0</v>
      </c>
      <c r="CH143" s="78"/>
      <c r="CI143"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43"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43"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43"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43" s="82" t="str">
        <f>IslandModel_1000P[[#This Row],[Resource Produced]]</f>
        <v>Coal</v>
      </c>
      <c r="CN143" s="42">
        <f>IslandModel_1000P[[#This Row],[Amount produced/h]]</f>
        <v>0</v>
      </c>
      <c r="CO143" s="42" t="str">
        <f>IslandModel_1000P[[#This Row],[Input 1]]</f>
        <v>Land tile</v>
      </c>
      <c r="CP143" s="42">
        <f>-IslandModel_1000P[[#This Row],[Input 1 Consumed]]</f>
        <v>0</v>
      </c>
      <c r="CQ143" s="42" t="str">
        <f>IslandModel_1000P[[#This Row],[Input 2]]</f>
        <v>Wood</v>
      </c>
      <c r="CR143" s="42">
        <f>-IslandModel_1000P[[#This Row],[Input 2 Consumed]]</f>
        <v>0</v>
      </c>
      <c r="CS143" s="42">
        <f>IslandModel_1000P[[#This Row],[Input 3]]</f>
        <v>0</v>
      </c>
      <c r="CT143" s="42">
        <f>-IslandModel_1000P[[#This Row],[Input 3 Consumed]]</f>
        <v>0</v>
      </c>
      <c r="CU143" s="42">
        <f>IslandModel_1000P[[#This Row],[Input 4]]</f>
        <v>0</v>
      </c>
      <c r="CV143" s="42">
        <f>-IslandModel_1000P[[#This Row],[Input 4 Consumed]]</f>
        <v>0</v>
      </c>
      <c r="CW143" s="42">
        <f>IslandModel_1000P[[#This Row],[Input 5]]</f>
        <v>0</v>
      </c>
      <c r="CX143" s="42">
        <f>-IslandModel_1000P[[#This Row],[Input 5 Consumed]]</f>
        <v>0</v>
      </c>
      <c r="CY143" s="42">
        <f>IslandModel_1000P[[#This Row],[Input 6]]</f>
        <v>0</v>
      </c>
      <c r="CZ143" s="42">
        <f>-IslandModel_1000P[[#This Row],[Input 6 Consumed]]</f>
        <v>0</v>
      </c>
      <c r="DA143" s="42">
        <f>IslandModel_1000P[[#This Row],[Input 7]]</f>
        <v>0</v>
      </c>
      <c r="DB143" s="42">
        <f>-IslandModel_1000P[[#This Row],[Input 7 Consumed]]</f>
        <v>0</v>
      </c>
      <c r="DC143" s="42">
        <f>IslandModel_1000P[[#This Row],[Input 8]]</f>
        <v>0</v>
      </c>
      <c r="DD143" s="42">
        <f>-IslandModel_1000P[[#This Row],[Input 8 Consumed]]</f>
        <v>0</v>
      </c>
      <c r="DE143" s="42">
        <f>IslandModel_1000P[[#This Row],[Input 9]]</f>
        <v>0</v>
      </c>
      <c r="DF143" s="42">
        <f>-IslandModel_1000P[[#This Row],[Input 9 Consumed]]</f>
        <v>0</v>
      </c>
      <c r="DG143" s="42">
        <f>IslandModel_1000P[[#This Row],[Input 10]]</f>
        <v>0</v>
      </c>
      <c r="DH143" s="42">
        <f>-IslandModel_1000P[[#This Row],[Input 10 Consumed]]</f>
        <v>0</v>
      </c>
    </row>
    <row r="144" spans="29:112" ht="21" x14ac:dyDescent="0.65">
      <c r="AC144" s="103" t="s">
        <v>87</v>
      </c>
      <c r="AD144" s="83">
        <f>ROW()</f>
        <v>144</v>
      </c>
      <c r="AE144" s="74">
        <v>1</v>
      </c>
      <c r="AF144" s="72" t="s">
        <v>153</v>
      </c>
      <c r="AG144" s="18"/>
      <c r="AH144" s="74">
        <v>1</v>
      </c>
      <c r="AI144" s="157">
        <f>IFERROR(IslandModel_1000P[[#This Row],[Quantity]]/IslandModel_1000P[[#This Row],[Target Quantity]],0)</f>
        <v>1</v>
      </c>
      <c r="AJ144" s="61" t="str">
        <f>IFERROR(INDEX(Production[Resource Produced],MATCH(IslandModel_1000P[[#This Row],[Building]],Production[Building],0)),"")</f>
        <v>Iron Ore</v>
      </c>
      <c r="AK144" s="99">
        <f>IFERROR(IslandModel_1000P[[#This Row],[Quantity]]*INDEX(Production[Production in 1h],MATCH(IslandModel_1000P[[#This Row],[Building]],Production[Building],0))*IslandModel_1000P[[#This Row],[Input Consumption Multiplier]],0)</f>
        <v>15</v>
      </c>
      <c r="AL144" s="115">
        <f>100%</f>
        <v>1</v>
      </c>
      <c r="AM144"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44" s="77" t="str">
        <f>IFERROR(INDEX(Production[Input 1],MATCH(IslandModel_1000P[[#This Row],[Building]],Production[Building],0)),"")</f>
        <v>Mountain tile</v>
      </c>
      <c r="AO144" s="78"/>
      <c r="AP144"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v>
      </c>
      <c r="AQ144"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289</v>
      </c>
      <c r="AR144"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v>
      </c>
      <c r="AS144" s="35">
        <f>IFERROR(INDEX(Production[Input 2],MATCH(IslandModel_1000P[[#This Row],[Building]],Production[Building],0)),"")</f>
        <v>0</v>
      </c>
      <c r="AT144" s="78"/>
      <c r="AU144"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0</v>
      </c>
      <c r="AV144"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0</v>
      </c>
      <c r="AW144"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0</v>
      </c>
      <c r="AX144" s="35">
        <f>IFERROR(INDEX(Production[Input 3],MATCH(IslandModel_1000P[[#This Row],[Building]],Production[Building],0)),"")</f>
        <v>0</v>
      </c>
      <c r="AY144" s="78"/>
      <c r="AZ144"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44"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44"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44" s="35">
        <f>IFERROR(INDEX(Production[Input 4],MATCH(IslandModel_1000P[[#This Row],[Building]],Production[Building],0)),"")</f>
        <v>0</v>
      </c>
      <c r="BD144" s="78"/>
      <c r="BE144"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44"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44"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44" s="35">
        <f>IFERROR(INDEX(Production[Input 5],MATCH(IslandModel_1000P[[#This Row],[Building]],Production[Building],0)),"")</f>
        <v>0</v>
      </c>
      <c r="BI144" s="78"/>
      <c r="BJ144"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44"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44"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44" s="35">
        <f>IFERROR(INDEX(Production[Input 6],MATCH(IslandModel_1000P[[#This Row],[Building]],Production[Building],0)),"")</f>
        <v>0</v>
      </c>
      <c r="BN144" s="78"/>
      <c r="BO144"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44"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44"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44" s="35">
        <f>IFERROR(INDEX(Production[Input 7],MATCH(IslandModel_1000P[[#This Row],[Building]],Production[Building],0)),"")</f>
        <v>0</v>
      </c>
      <c r="BS144" s="78"/>
      <c r="BT144"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44"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44"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44" s="35">
        <f>IFERROR(INDEX(Production[Input 8],MATCH(IslandModel_1000P[[#This Row],[Building]],Production[Building],0)),"")</f>
        <v>0</v>
      </c>
      <c r="BX144" s="78"/>
      <c r="BY144"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44"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44"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44" s="35">
        <f>IFERROR(INDEX(Production[Input 9],MATCH(IslandModel_1000P[[#This Row],[Building]],Production[Building],0)),"")</f>
        <v>0</v>
      </c>
      <c r="CC144" s="78"/>
      <c r="CD144"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44"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44"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44" s="35">
        <f>IFERROR(INDEX(Production[Input 10],MATCH(IslandModel_1000P[[#This Row],[Building]],Production[Building],0)),"")</f>
        <v>0</v>
      </c>
      <c r="CH144" s="78"/>
      <c r="CI144"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44"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44"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44"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44" s="82" t="str">
        <f>IslandModel_1000P[[#This Row],[Resource Produced]]</f>
        <v>Iron Ore</v>
      </c>
      <c r="CN144" s="42">
        <f>IslandModel_1000P[[#This Row],[Amount produced/h]]</f>
        <v>15</v>
      </c>
      <c r="CO144" s="42" t="str">
        <f>IslandModel_1000P[[#This Row],[Input 1]]</f>
        <v>Mountain tile</v>
      </c>
      <c r="CP144" s="42">
        <f>-IslandModel_1000P[[#This Row],[Input 1 Consumed]]</f>
        <v>-1</v>
      </c>
      <c r="CQ144" s="42">
        <f>IslandModel_1000P[[#This Row],[Input 2]]</f>
        <v>0</v>
      </c>
      <c r="CR144" s="42">
        <f>-IslandModel_1000P[[#This Row],[Input 2 Consumed]]</f>
        <v>0</v>
      </c>
      <c r="CS144" s="42">
        <f>IslandModel_1000P[[#This Row],[Input 3]]</f>
        <v>0</v>
      </c>
      <c r="CT144" s="42">
        <f>-IslandModel_1000P[[#This Row],[Input 3 Consumed]]</f>
        <v>0</v>
      </c>
      <c r="CU144" s="42">
        <f>IslandModel_1000P[[#This Row],[Input 4]]</f>
        <v>0</v>
      </c>
      <c r="CV144" s="42">
        <f>-IslandModel_1000P[[#This Row],[Input 4 Consumed]]</f>
        <v>0</v>
      </c>
      <c r="CW144" s="42">
        <f>IslandModel_1000P[[#This Row],[Input 5]]</f>
        <v>0</v>
      </c>
      <c r="CX144" s="42">
        <f>-IslandModel_1000P[[#This Row],[Input 5 Consumed]]</f>
        <v>0</v>
      </c>
      <c r="CY144" s="42">
        <f>IslandModel_1000P[[#This Row],[Input 6]]</f>
        <v>0</v>
      </c>
      <c r="CZ144" s="42">
        <f>-IslandModel_1000P[[#This Row],[Input 6 Consumed]]</f>
        <v>0</v>
      </c>
      <c r="DA144" s="42">
        <f>IslandModel_1000P[[#This Row],[Input 7]]</f>
        <v>0</v>
      </c>
      <c r="DB144" s="42">
        <f>-IslandModel_1000P[[#This Row],[Input 7 Consumed]]</f>
        <v>0</v>
      </c>
      <c r="DC144" s="42">
        <f>IslandModel_1000P[[#This Row],[Input 8]]</f>
        <v>0</v>
      </c>
      <c r="DD144" s="42">
        <f>-IslandModel_1000P[[#This Row],[Input 8 Consumed]]</f>
        <v>0</v>
      </c>
      <c r="DE144" s="42">
        <f>IslandModel_1000P[[#This Row],[Input 9]]</f>
        <v>0</v>
      </c>
      <c r="DF144" s="42">
        <f>-IslandModel_1000P[[#This Row],[Input 9 Consumed]]</f>
        <v>0</v>
      </c>
      <c r="DG144" s="42">
        <f>IslandModel_1000P[[#This Row],[Input 10]]</f>
        <v>0</v>
      </c>
      <c r="DH144" s="42">
        <f>-IslandModel_1000P[[#This Row],[Input 10 Consumed]]</f>
        <v>0</v>
      </c>
    </row>
    <row r="145" spans="29:112" ht="21" x14ac:dyDescent="0.65">
      <c r="AC145" s="103" t="s">
        <v>87</v>
      </c>
      <c r="AD145" s="83">
        <f>ROW()</f>
        <v>145</v>
      </c>
      <c r="AE145" s="74">
        <v>2</v>
      </c>
      <c r="AF145" s="72" t="s">
        <v>155</v>
      </c>
      <c r="AG145" s="18"/>
      <c r="AH145" s="74">
        <v>2</v>
      </c>
      <c r="AI145" s="157">
        <f>IFERROR(IslandModel_1000P[[#This Row],[Quantity]]/IslandModel_1000P[[#This Row],[Target Quantity]],0)</f>
        <v>1</v>
      </c>
      <c r="AJ145" s="61" t="str">
        <f>IFERROR(INDEX(Production[Resource Produced],MATCH(IslandModel_1000P[[#This Row],[Building]],Production[Building],0)),"")</f>
        <v>Iron Ingot</v>
      </c>
      <c r="AK145" s="99">
        <f>IFERROR(IslandModel_1000P[[#This Row],[Quantity]]*INDEX(Production[Production in 1h],MATCH(IslandModel_1000P[[#This Row],[Building]],Production[Building],0))*IslandModel_1000P[[#This Row],[Input Consumption Multiplier]],0)</f>
        <v>15</v>
      </c>
      <c r="AL145" s="115">
        <f>100%</f>
        <v>1</v>
      </c>
      <c r="AM145"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45" s="77" t="str">
        <f>IFERROR(INDEX(Production[Input 1],MATCH(IslandModel_1000P[[#This Row],[Building]],Production[Building],0)),"")</f>
        <v>Land tile</v>
      </c>
      <c r="AO145" s="78"/>
      <c r="AP145"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2</v>
      </c>
      <c r="AQ145"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692.10416666666652</v>
      </c>
      <c r="AR145"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2</v>
      </c>
      <c r="AS145" s="35" t="str">
        <f>IFERROR(INDEX(Production[Input 2],MATCH(IslandModel_1000P[[#This Row],[Building]],Production[Building],0)),"")</f>
        <v>Coal</v>
      </c>
      <c r="AT145" s="78"/>
      <c r="AU145"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7.5</v>
      </c>
      <c r="AV145"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105</v>
      </c>
      <c r="AW145"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7.5</v>
      </c>
      <c r="AX145" s="35" t="str">
        <f>IFERROR(INDEX(Production[Input 3],MATCH(IslandModel_1000P[[#This Row],[Building]],Production[Building],0)),"")</f>
        <v>Iron Ore</v>
      </c>
      <c r="AY145" s="78"/>
      <c r="AZ145"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15</v>
      </c>
      <c r="BA145"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22.5</v>
      </c>
      <c r="BB145"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15</v>
      </c>
      <c r="BC145" s="35">
        <f>IFERROR(INDEX(Production[Input 4],MATCH(IslandModel_1000P[[#This Row],[Building]],Production[Building],0)),"")</f>
        <v>0</v>
      </c>
      <c r="BD145" s="78"/>
      <c r="BE145"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45"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45"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45" s="35">
        <f>IFERROR(INDEX(Production[Input 5],MATCH(IslandModel_1000P[[#This Row],[Building]],Production[Building],0)),"")</f>
        <v>0</v>
      </c>
      <c r="BI145" s="78"/>
      <c r="BJ145"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45"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45"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45" s="35">
        <f>IFERROR(INDEX(Production[Input 6],MATCH(IslandModel_1000P[[#This Row],[Building]],Production[Building],0)),"")</f>
        <v>0</v>
      </c>
      <c r="BN145" s="78"/>
      <c r="BO145"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45"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45"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45" s="35">
        <f>IFERROR(INDEX(Production[Input 7],MATCH(IslandModel_1000P[[#This Row],[Building]],Production[Building],0)),"")</f>
        <v>0</v>
      </c>
      <c r="BS145" s="78"/>
      <c r="BT145"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45"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45"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45" s="35">
        <f>IFERROR(INDEX(Production[Input 8],MATCH(IslandModel_1000P[[#This Row],[Building]],Production[Building],0)),"")</f>
        <v>0</v>
      </c>
      <c r="BX145" s="78"/>
      <c r="BY145"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45"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45"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45" s="35">
        <f>IFERROR(INDEX(Production[Input 9],MATCH(IslandModel_1000P[[#This Row],[Building]],Production[Building],0)),"")</f>
        <v>0</v>
      </c>
      <c r="CC145" s="78"/>
      <c r="CD145"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45"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45"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45" s="35">
        <f>IFERROR(INDEX(Production[Input 10],MATCH(IslandModel_1000P[[#This Row],[Building]],Production[Building],0)),"")</f>
        <v>0</v>
      </c>
      <c r="CH145" s="78"/>
      <c r="CI145"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45"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45"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45"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45" s="82" t="str">
        <f>IslandModel_1000P[[#This Row],[Resource Produced]]</f>
        <v>Iron Ingot</v>
      </c>
      <c r="CN145" s="42">
        <f>IslandModel_1000P[[#This Row],[Amount produced/h]]</f>
        <v>15</v>
      </c>
      <c r="CO145" s="42" t="str">
        <f>IslandModel_1000P[[#This Row],[Input 1]]</f>
        <v>Land tile</v>
      </c>
      <c r="CP145" s="42">
        <f>-IslandModel_1000P[[#This Row],[Input 1 Consumed]]</f>
        <v>-2</v>
      </c>
      <c r="CQ145" s="42" t="str">
        <f>IslandModel_1000P[[#This Row],[Input 2]]</f>
        <v>Coal</v>
      </c>
      <c r="CR145" s="42">
        <f>-IslandModel_1000P[[#This Row],[Input 2 Consumed]]</f>
        <v>-7.5</v>
      </c>
      <c r="CS145" s="42" t="str">
        <f>IslandModel_1000P[[#This Row],[Input 3]]</f>
        <v>Iron Ore</v>
      </c>
      <c r="CT145" s="42">
        <f>-IslandModel_1000P[[#This Row],[Input 3 Consumed]]</f>
        <v>-15</v>
      </c>
      <c r="CU145" s="42">
        <f>IslandModel_1000P[[#This Row],[Input 4]]</f>
        <v>0</v>
      </c>
      <c r="CV145" s="42">
        <f>-IslandModel_1000P[[#This Row],[Input 4 Consumed]]</f>
        <v>0</v>
      </c>
      <c r="CW145" s="42">
        <f>IslandModel_1000P[[#This Row],[Input 5]]</f>
        <v>0</v>
      </c>
      <c r="CX145" s="42">
        <f>-IslandModel_1000P[[#This Row],[Input 5 Consumed]]</f>
        <v>0</v>
      </c>
      <c r="CY145" s="42">
        <f>IslandModel_1000P[[#This Row],[Input 6]]</f>
        <v>0</v>
      </c>
      <c r="CZ145" s="42">
        <f>-IslandModel_1000P[[#This Row],[Input 6 Consumed]]</f>
        <v>0</v>
      </c>
      <c r="DA145" s="42">
        <f>IslandModel_1000P[[#This Row],[Input 7]]</f>
        <v>0</v>
      </c>
      <c r="DB145" s="42">
        <f>-IslandModel_1000P[[#This Row],[Input 7 Consumed]]</f>
        <v>0</v>
      </c>
      <c r="DC145" s="42">
        <f>IslandModel_1000P[[#This Row],[Input 8]]</f>
        <v>0</v>
      </c>
      <c r="DD145" s="42">
        <f>-IslandModel_1000P[[#This Row],[Input 8 Consumed]]</f>
        <v>0</v>
      </c>
      <c r="DE145" s="42">
        <f>IslandModel_1000P[[#This Row],[Input 9]]</f>
        <v>0</v>
      </c>
      <c r="DF145" s="42">
        <f>-IslandModel_1000P[[#This Row],[Input 9 Consumed]]</f>
        <v>0</v>
      </c>
      <c r="DG145" s="42">
        <f>IslandModel_1000P[[#This Row],[Input 10]]</f>
        <v>0</v>
      </c>
      <c r="DH145" s="42">
        <f>-IslandModel_1000P[[#This Row],[Input 10 Consumed]]</f>
        <v>0</v>
      </c>
    </row>
    <row r="146" spans="29:112" ht="21" x14ac:dyDescent="0.65">
      <c r="AC146" s="103" t="s">
        <v>87</v>
      </c>
      <c r="AD146" s="83">
        <f>ROW()</f>
        <v>146</v>
      </c>
      <c r="AE146" s="74">
        <v>1</v>
      </c>
      <c r="AF146" s="72" t="s">
        <v>428</v>
      </c>
      <c r="AG146" s="18"/>
      <c r="AH146" s="74">
        <v>1</v>
      </c>
      <c r="AI146" s="157">
        <f>IFERROR(IslandModel_1000P[[#This Row],[Quantity]]/IslandModel_1000P[[#This Row],[Target Quantity]],0)</f>
        <v>1</v>
      </c>
      <c r="AJ146" s="61" t="str">
        <f>IFERROR(INDEX(Production[Resource Produced],MATCH(IslandModel_1000P[[#This Row],[Building]],Production[Building],0)),"")</f>
        <v>Coke</v>
      </c>
      <c r="AK146" s="99">
        <f>IFERROR(IslandModel_1000P[[#This Row],[Quantity]]*INDEX(Production[Production in 1h],MATCH(IslandModel_1000P[[#This Row],[Building]],Production[Building],0))*IslandModel_1000P[[#This Row],[Input Consumption Multiplier]],0)</f>
        <v>15</v>
      </c>
      <c r="AL146" s="115">
        <f>100%</f>
        <v>1</v>
      </c>
      <c r="AM146"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46" s="77" t="str">
        <f>IFERROR(INDEX(Production[Input 1],MATCH(IslandModel_1000P[[#This Row],[Building]],Production[Building],0)),"")</f>
        <v>Land tile</v>
      </c>
      <c r="AO146" s="78"/>
      <c r="AP146"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v>
      </c>
      <c r="AQ146"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690.10416666666652</v>
      </c>
      <c r="AR146"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v>
      </c>
      <c r="AS146" s="35" t="str">
        <f>IFERROR(INDEX(Production[Input 2],MATCH(IslandModel_1000P[[#This Row],[Building]],Production[Building],0)),"")</f>
        <v>Coal</v>
      </c>
      <c r="AT146" s="78"/>
      <c r="AU146"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30</v>
      </c>
      <c r="AV146"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97.5</v>
      </c>
      <c r="AW146"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30</v>
      </c>
      <c r="AX146" s="35">
        <f>IFERROR(INDEX(Production[Input 3],MATCH(IslandModel_1000P[[#This Row],[Building]],Production[Building],0)),"")</f>
        <v>0</v>
      </c>
      <c r="AY146" s="78"/>
      <c r="AZ146"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0</v>
      </c>
      <c r="BA146"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0</v>
      </c>
      <c r="BB146"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0</v>
      </c>
      <c r="BC146" s="35">
        <f>IFERROR(INDEX(Production[Input 4],MATCH(IslandModel_1000P[[#This Row],[Building]],Production[Building],0)),"")</f>
        <v>0</v>
      </c>
      <c r="BD146" s="78"/>
      <c r="BE146"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46"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46"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46" s="35">
        <f>IFERROR(INDEX(Production[Input 5],MATCH(IslandModel_1000P[[#This Row],[Building]],Production[Building],0)),"")</f>
        <v>0</v>
      </c>
      <c r="BI146" s="78"/>
      <c r="BJ146"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46"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46"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46" s="35">
        <f>IFERROR(INDEX(Production[Input 6],MATCH(IslandModel_1000P[[#This Row],[Building]],Production[Building],0)),"")</f>
        <v>0</v>
      </c>
      <c r="BN146" s="78"/>
      <c r="BO146"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46"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46"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46" s="35">
        <f>IFERROR(INDEX(Production[Input 7],MATCH(IslandModel_1000P[[#This Row],[Building]],Production[Building],0)),"")</f>
        <v>0</v>
      </c>
      <c r="BS146" s="78"/>
      <c r="BT146"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46"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46"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46" s="35">
        <f>IFERROR(INDEX(Production[Input 8],MATCH(IslandModel_1000P[[#This Row],[Building]],Production[Building],0)),"")</f>
        <v>0</v>
      </c>
      <c r="BX146" s="78"/>
      <c r="BY146"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46"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46"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46" s="35">
        <f>IFERROR(INDEX(Production[Input 9],MATCH(IslandModel_1000P[[#This Row],[Building]],Production[Building],0)),"")</f>
        <v>0</v>
      </c>
      <c r="CC146" s="78"/>
      <c r="CD146"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46"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46"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46" s="35">
        <f>IFERROR(INDEX(Production[Input 10],MATCH(IslandModel_1000P[[#This Row],[Building]],Production[Building],0)),"")</f>
        <v>0</v>
      </c>
      <c r="CH146" s="78"/>
      <c r="CI146"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46"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46"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46"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46" s="82" t="str">
        <f>IslandModel_1000P[[#This Row],[Resource Produced]]</f>
        <v>Coke</v>
      </c>
      <c r="CN146" s="42">
        <f>IslandModel_1000P[[#This Row],[Amount produced/h]]</f>
        <v>15</v>
      </c>
      <c r="CO146" s="42" t="str">
        <f>IslandModel_1000P[[#This Row],[Input 1]]</f>
        <v>Land tile</v>
      </c>
      <c r="CP146" s="42">
        <f>-IslandModel_1000P[[#This Row],[Input 1 Consumed]]</f>
        <v>-1</v>
      </c>
      <c r="CQ146" s="42" t="str">
        <f>IslandModel_1000P[[#This Row],[Input 2]]</f>
        <v>Coal</v>
      </c>
      <c r="CR146" s="42">
        <f>-IslandModel_1000P[[#This Row],[Input 2 Consumed]]</f>
        <v>-30</v>
      </c>
      <c r="CS146" s="42">
        <f>IslandModel_1000P[[#This Row],[Input 3]]</f>
        <v>0</v>
      </c>
      <c r="CT146" s="42">
        <f>-IslandModel_1000P[[#This Row],[Input 3 Consumed]]</f>
        <v>0</v>
      </c>
      <c r="CU146" s="42">
        <f>IslandModel_1000P[[#This Row],[Input 4]]</f>
        <v>0</v>
      </c>
      <c r="CV146" s="42">
        <f>-IslandModel_1000P[[#This Row],[Input 4 Consumed]]</f>
        <v>0</v>
      </c>
      <c r="CW146" s="42">
        <f>IslandModel_1000P[[#This Row],[Input 5]]</f>
        <v>0</v>
      </c>
      <c r="CX146" s="42">
        <f>-IslandModel_1000P[[#This Row],[Input 5 Consumed]]</f>
        <v>0</v>
      </c>
      <c r="CY146" s="42">
        <f>IslandModel_1000P[[#This Row],[Input 6]]</f>
        <v>0</v>
      </c>
      <c r="CZ146" s="42">
        <f>-IslandModel_1000P[[#This Row],[Input 6 Consumed]]</f>
        <v>0</v>
      </c>
      <c r="DA146" s="42">
        <f>IslandModel_1000P[[#This Row],[Input 7]]</f>
        <v>0</v>
      </c>
      <c r="DB146" s="42">
        <f>-IslandModel_1000P[[#This Row],[Input 7 Consumed]]</f>
        <v>0</v>
      </c>
      <c r="DC146" s="42">
        <f>IslandModel_1000P[[#This Row],[Input 8]]</f>
        <v>0</v>
      </c>
      <c r="DD146" s="42">
        <f>-IslandModel_1000P[[#This Row],[Input 8 Consumed]]</f>
        <v>0</v>
      </c>
      <c r="DE146" s="42">
        <f>IslandModel_1000P[[#This Row],[Input 9]]</f>
        <v>0</v>
      </c>
      <c r="DF146" s="42">
        <f>-IslandModel_1000P[[#This Row],[Input 9 Consumed]]</f>
        <v>0</v>
      </c>
      <c r="DG146" s="42">
        <f>IslandModel_1000P[[#This Row],[Input 10]]</f>
        <v>0</v>
      </c>
      <c r="DH146" s="42">
        <f>-IslandModel_1000P[[#This Row],[Input 10 Consumed]]</f>
        <v>0</v>
      </c>
    </row>
    <row r="147" spans="29:112" ht="21" x14ac:dyDescent="0.65">
      <c r="AC147" s="103" t="s">
        <v>87</v>
      </c>
      <c r="AD147" s="83">
        <f>ROW()</f>
        <v>147</v>
      </c>
      <c r="AE147" s="74">
        <v>1</v>
      </c>
      <c r="AF147" s="101" t="s">
        <v>429</v>
      </c>
      <c r="AG147" s="101"/>
      <c r="AH147" s="74">
        <v>1</v>
      </c>
      <c r="AI147" s="157">
        <f>IFERROR(IslandModel_1000P[[#This Row],[Quantity]]/IslandModel_1000P[[#This Row],[Target Quantity]],0)</f>
        <v>1</v>
      </c>
      <c r="AJ147" s="61" t="str">
        <f>IFERROR(INDEX(Production[Resource Produced],MATCH(IslandModel_1000P[[#This Row],[Building]],Production[Building],0)),"")</f>
        <v>Steel Ingot</v>
      </c>
      <c r="AK147" s="99">
        <f>IFERROR(IslandModel_1000P[[#This Row],[Quantity]]*INDEX(Production[Production in 1h],MATCH(IslandModel_1000P[[#This Row],[Building]],Production[Building],0))*IslandModel_1000P[[#This Row],[Input Consumption Multiplier]],0)</f>
        <v>15</v>
      </c>
      <c r="AL147" s="115">
        <f>100%</f>
        <v>1</v>
      </c>
      <c r="AM147" s="114" t="str">
        <f>IFERROR(MID(
IF(AND(IslandModel_1000P[[#This Row],[Input 1]]&lt;&gt;"",IslandModel_1000P[[#This Row],[Input 1 Available]]&lt;IslandModel_1000P[[#This Row],[Input 1 Needed]]),", "&amp;IslandModel_1000P[[#This Row],[Input 1]]&amp;": "&amp;ROUND(IslandModel_1000P[[#This Row],[Input 1 Available]],3)&amp;"/"&amp;ROUND(IslandModel_1000P[[#This Row],[Input 1 Needed]],3),"")
&amp;IF(AND(IslandModel_1000P[[#This Row],[Input 2]]&lt;&gt;"",IslandModel_1000P[[#This Row],[Input 2 Available]]&lt;IslandModel_1000P[[#This Row],[Input 2 Needed]]),", "&amp;IslandModel_1000P[[#This Row],[Input 2]]&amp;": "&amp;ROUND(IslandModel_1000P[[#This Row],[Input 2 Available]],3)&amp;"/"&amp;ROUND(IslandModel_1000P[[#This Row],[Input 2 Needed]],3),"")
&amp;IF(AND(IslandModel_1000P[[#This Row],[Input 3]]&lt;&gt;"",IslandModel_1000P[[#This Row],[Input 3 Available]]&lt;IslandModel_1000P[[#This Row],[Input 3 Needed]]),", "&amp;IslandModel_1000P[[#This Row],[Input 3]]&amp;": "&amp;ROUND(IslandModel_1000P[[#This Row],[Input 3 Available]],3)&amp;"/"&amp;ROUND(IslandModel_1000P[[#This Row],[Input 3 Needed]],3),"")
&amp;IF(AND(IslandModel_1000P[[#This Row],[Input 4]]&lt;&gt;"",IslandModel_1000P[[#This Row],[Input 4 Available]]&lt;IslandModel_1000P[[#This Row],[Input 4 Needed]]),", "&amp;IslandModel_1000P[[#This Row],[Input 4]]&amp;": "&amp;ROUND(IslandModel_1000P[[#This Row],[Input 4 Available]],3)&amp;"/"&amp;ROUND(IslandModel_1000P[[#This Row],[Input 4 Needed]],3),"")
&amp;IF(AND(IslandModel_1000P[[#This Row],[Input 5]]&lt;&gt;"",IslandModel_1000P[[#This Row],[Input 5 Available]]&lt;IslandModel_1000P[[#This Row],[Input 5 Needed]]),", "&amp;IslandModel_1000P[[#This Row],[Input 5]]&amp;": "&amp;ROUND(IslandModel_1000P[[#This Row],[Input 5 Available]],3)&amp;"/"&amp;ROUND(IslandModel_1000P[[#This Row],[Input 5 Needed]],3),"")
&amp;IF(AND(IslandModel_1000P[[#This Row],[Input 6]]&lt;&gt;"",IslandModel_1000P[[#This Row],[Input 6 Available]]&lt;IslandModel_1000P[[#This Row],[Input 6 Needed]]),", "&amp;IslandModel_1000P[[#This Row],[Input 6]]&amp;": "&amp;ROUND(IslandModel_1000P[[#This Row],[Input 6 Available]],3)&amp;"/"&amp;ROUND(IslandModel_1000P[[#This Row],[Input 6 Needed]],3),"")
&amp;IF(AND(IslandModel_1000P[[#This Row],[Input 7]]&lt;&gt;"",IslandModel_1000P[[#This Row],[Input 7 Available]]&lt;IslandModel_1000P[[#This Row],[Input 7 Needed]]),", "&amp;IslandModel_1000P[[#This Row],[Input 7]]&amp;": "&amp;ROUND(IslandModel_1000P[[#This Row],[Input 7 Available]],3)&amp;"/"&amp;ROUND(IslandModel_1000P[[#This Row],[Input 7 Needed]],3),"")
&amp;IF(AND(IslandModel_1000P[[#This Row],[Input 8]]&lt;&gt;"",IslandModel_1000P[[#This Row],[Input 8 Available]]&lt;IslandModel_1000P[[#This Row],[Input 8 Needed]]),", "&amp;IslandModel_1000P[[#This Row],[Input 8]]&amp;": "&amp;ROUND(IslandModel_1000P[[#This Row],[Input 8 Available]],3)&amp;"/"&amp;ROUND(IslandModel_1000P[[#This Row],[Input 8 Needed]],3),"")
&amp;IF(AND(IslandModel_1000P[[#This Row],[Input 9]]&lt;&gt;"",IslandModel_1000P[[#This Row],[Input 9 Available]]&lt;IslandModel_1000P[[#This Row],[Input 9 Needed]]),", "&amp;IslandModel_1000P[[#This Row],[Input 9]]&amp;": "&amp;ROUND(IslandModel_1000P[[#This Row],[Input 9 Available]],3)&amp;"/"&amp;ROUND(IslandModel_1000P[[#This Row],[Input 9 Needed]],3),"")
&amp;IF(AND(IslandModel_1000P[[#This Row],[Input 10]]&lt;&gt;"",IslandModel_1000P[[#This Row],[Input 10 Available]]&lt;IslandModel_1000P[[#This Row],[Input 10 Needed]]),", "&amp;IslandModel_1000P[[#This Row],[Input 10]]&amp;": "&amp;ROUND(IslandModel_1000P[[#This Row],[Input 10 Available]],3)&amp;"/"&amp;ROUND(IslandModel_1000P[[#This Row],[Input 10 Needed]],3),""),3,999),"")</f>
        <v/>
      </c>
      <c r="AN147" s="77" t="str">
        <f>IFERROR(INDEX(Production[Input 1],MATCH(IslandModel_1000P[[#This Row],[Building]],Production[Building],0)),"")</f>
        <v>Land tile</v>
      </c>
      <c r="AO147" s="78"/>
      <c r="AP147" s="79">
        <f>IFERROR(
INDEX(Production[Input 1 Quantity],MATCH(IslandModel_1000P[[#This Row],[Building]],Production[Building],0))
*IslandModel_1000P[[#This Row],[Quantity]]
*IF(OR(IslandModel_1000P[[#This Row],[Input 1]]="Land tile",IslandModel_1000P[[#This Row],[Input 1]]="Water tile",IslandModel_1000P[[#This Row],[Input 1]]="Mountain tile"),1,INDEX(Production[Consumption multiplier],MATCH(IslandModel_1000P[[#This Row],[Building]],Production[Building],0))),"")</f>
        <v>1</v>
      </c>
      <c r="AQ147" s="41">
        <f>IF(OR(IslandModel_1000P[[#This Row],[Assume All Inputs Are Available?]]="Yes",IslandModel_1000P[[#This Row],[Input 1 Assume Available]]="Yes"),IslandModel_1000P[[#This Row],[Input 1 Needed]],
SUM(SUMIFS(IslandModel_1000P[Resource 1 Qty],IslandModel_1000P[Resource 1],IslandModel_1000P[[#This Row],[Input 1]],IslandModel_1000P[ROW ID],"&lt;"&amp;ROW()),
SUMIFS(IslandModel_1000P[Resource 2 Qty],IslandModel_1000P[Resource 2],IslandModel_1000P[[#This Row],[Input 1]],IslandModel_1000P[ROW ID],"&lt;"&amp;ROW()),
SUMIFS(IslandModel_1000P[Resource 3 Qty],IslandModel_1000P[Resource 3],IslandModel_1000P[[#This Row],[Input 1]],IslandModel_1000P[ROW ID],"&lt;"&amp;ROW()),
SUMIFS(IslandModel_1000P[Resource 4 Qty],IslandModel_1000P[Resource 4],IslandModel_1000P[[#This Row],[Input 1]],IslandModel_1000P[ROW ID],"&lt;"&amp;ROW()),
SUMIFS(IslandModel_1000P[Resource 5 Qty],IslandModel_1000P[Resource 5],IslandModel_1000P[[#This Row],[Input 1]],IslandModel_1000P[ROW ID],"&lt;"&amp;ROW()),
SUMIFS(IslandModel_1000P[Resource 6 Qty],IslandModel_1000P[Resource 6],IslandModel_1000P[[#This Row],[Input 1]],IslandModel_1000P[ROW ID],"&lt;"&amp;ROW()),
SUMIFS(IslandModel_1000P[Resource 7 Qty],IslandModel_1000P[Resource 7],IslandModel_1000P[[#This Row],[Input 1]],IslandModel_1000P[ROW ID],"&lt;"&amp;ROW()),
SUMIFS(IslandModel_1000P[Resource 8 Qty],IslandModel_1000P[Resource 8],IslandModel_1000P[[#This Row],[Input 1]],IslandModel_1000P[ROW ID],"&lt;"&amp;ROW()),
SUMIFS(IslandModel_1000P[Resource 9 Qty],IslandModel_1000P[Resource 9],IslandModel_1000P[[#This Row],[Input 1]],IslandModel_1000P[ROW ID],"&lt;"&amp;ROW()),
SUMIFS(IslandModel_1000P[Resource 10 Qty],IslandModel_1000P[Resource 10],IslandModel_1000P[[#This Row],[Input 1]],IslandModel_1000P[ROW ID],"&lt;"&amp;ROW()),
SUMIFS(IslandModel_1000P[Resource 11 Qty],IslandModel_1000P[Resource 11],IslandModel_1000P[[#This Row],[Input 1]],IslandModel_1000P[ROW ID],"&lt;"&amp;ROW())
))</f>
        <v>689.10416666666652</v>
      </c>
      <c r="AR147" s="79">
        <f>IF(OR(IslandModel_1000P[[#This Row],[Assume All Inputs Are Available?]]="Yes",IslandModel_1000P[[#This Row],[Input 1 Assume Available]]="Yes"),0,
IFERROR(MIN(IslandModel_1000P[[#This Row],[Input Consumption Multiplier]]*IslandModel_1000P[[#This Row],[Input 1 Needed]],IslandModel_1000P[[#This Row],[Input 1 Available]],IslandModel_1000P[[#This Row],[Input 1 Needed]]),0))</f>
        <v>1</v>
      </c>
      <c r="AS147" s="35" t="str">
        <f>IFERROR(INDEX(Production[Input 2],MATCH(IslandModel_1000P[[#This Row],[Building]],Production[Building],0)),"")</f>
        <v>Iron Ingot</v>
      </c>
      <c r="AT147" s="78"/>
      <c r="AU147" s="41">
        <f>IFERROR(
INDEX(Production[Input 2 Quantity],MATCH(IslandModel_1000P[[#This Row],[Building]],Production[Building],0))
*IslandModel_1000P[[#This Row],[Quantity]]
*IF(OR(IslandModel_1000P[[#This Row],[Input 2]]="Land tile",IslandModel_1000P[[#This Row],[Input 2]]="Water tile",IslandModel_1000P[[#This Row],[Input 2]]="Mountain tile"),1,INDEX(Production[Consumption multiplier],MATCH(IslandModel_1000P[[#This Row],[Building]],Production[Building],0))),"")</f>
        <v>15</v>
      </c>
      <c r="AV147" s="41">
        <f>IF(OR(IslandModel_1000P[[#This Row],[Assume All Inputs Are Available?]]="Yes",IslandModel_1000P[[#This Row],[Input 2 Assume Available]]="Yes"),IslandModel_1000P[[#This Row],[Input 2 Needed]],
SUM(SUMIFS(IslandModel_1000P[Resource 1 Qty],IslandModel_1000P[Resource 1],IslandModel_1000P[[#This Row],[Input 2]],IslandModel_1000P[ROW ID],"&lt;"&amp;ROW()),
SUMIFS(IslandModel_1000P[Resource 2 Qty],IslandModel_1000P[Resource 2],IslandModel_1000P[[#This Row],[Input 2]],IslandModel_1000P[ROW ID],"&lt;"&amp;ROW()),
SUMIFS(IslandModel_1000P[Resource 3 Qty],IslandModel_1000P[Resource 3],IslandModel_1000P[[#This Row],[Input 2]],IslandModel_1000P[ROW ID],"&lt;"&amp;ROW()),
SUMIFS(IslandModel_1000P[Resource 4 Qty],IslandModel_1000P[Resource 4],IslandModel_1000P[[#This Row],[Input 2]],IslandModel_1000P[ROW ID],"&lt;"&amp;ROW()),
SUMIFS(IslandModel_1000P[Resource 5 Qty],IslandModel_1000P[Resource 5],IslandModel_1000P[[#This Row],[Input 2]],IslandModel_1000P[ROW ID],"&lt;"&amp;ROW()),
SUMIFS(IslandModel_1000P[Resource 6 Qty],IslandModel_1000P[Resource 6],IslandModel_1000P[[#This Row],[Input 2]],IslandModel_1000P[ROW ID],"&lt;"&amp;ROW()),
SUMIFS(IslandModel_1000P[Resource 7 Qty],IslandModel_1000P[Resource 7],IslandModel_1000P[[#This Row],[Input 2]],IslandModel_1000P[ROW ID],"&lt;"&amp;ROW()),
SUMIFS(IslandModel_1000P[Resource 8 Qty],IslandModel_1000P[Resource 8],IslandModel_1000P[[#This Row],[Input 2]],IslandModel_1000P[ROW ID],"&lt;"&amp;ROW()),
SUMIFS(IslandModel_1000P[Resource 9 Qty],IslandModel_1000P[Resource 9],IslandModel_1000P[[#This Row],[Input 2]],IslandModel_1000P[ROW ID],"&lt;"&amp;ROW()),
SUMIFS(IslandModel_1000P[Resource 10 Qty],IslandModel_1000P[Resource 10],IslandModel_1000P[[#This Row],[Input 2]],IslandModel_1000P[ROW ID],"&lt;"&amp;ROW()),
SUMIFS(IslandModel_1000P[Resource 11 Qty],IslandModel_1000P[Resource 11],IslandModel_1000P[[#This Row],[Input 2]],IslandModel_1000P[ROW ID],"&lt;"&amp;ROW())
))</f>
        <v>15</v>
      </c>
      <c r="AW147" s="41">
        <f>IF(OR(IslandModel_1000P[[#This Row],[Assume All Inputs Are Available?]]="Yes",IslandModel_1000P[[#This Row],[Input 2 Assume Available]]="Yes"),0,
IFERROR(MIN(IslandModel_1000P[[#This Row],[Input Consumption Multiplier]]*IslandModel_1000P[[#This Row],[Input 2 Needed]],IslandModel_1000P[[#This Row],[Input 2 Available]],IslandModel_1000P[[#This Row],[Input 2 Needed]]),0))</f>
        <v>15</v>
      </c>
      <c r="AX147" s="35" t="str">
        <f>IFERROR(INDEX(Production[Input 3],MATCH(IslandModel_1000P[[#This Row],[Building]],Production[Building],0)),"")</f>
        <v>Coke</v>
      </c>
      <c r="AY147" s="78"/>
      <c r="AZ147" s="41">
        <f>IFERROR(
INDEX(Production[Input 3 Quantity],MATCH(IslandModel_1000P[[#This Row],[Building]],Production[Building],0))
*IslandModel_1000P[[#This Row],[Quantity]]
*IF(OR(IslandModel_1000P[[#This Row],[Input 3]]="Land tile",IslandModel_1000P[[#This Row],[Input 3]]="Water tile",IslandModel_1000P[[#This Row],[Input 3]]="Mountain tile"),1,INDEX(Production[Consumption multiplier],MATCH(IslandModel_1000P[[#This Row],[Building]],Production[Building],0))),"")</f>
        <v>15</v>
      </c>
      <c r="BA147" s="41">
        <f>IF(OR(IslandModel_1000P[[#This Row],[Assume All Inputs Are Available?]]="Yes",IslandModel_1000P[[#This Row],[Input 3 Assume Available]]="Yes"),IslandModel_1000P[[#This Row],[Input 3 Needed]],
SUM(SUMIFS(IslandModel_1000P[Resource 1 Qty],IslandModel_1000P[Resource 1],IslandModel_1000P[[#This Row],[Input 3]],IslandModel_1000P[ROW ID],"&lt;"&amp;ROW()),
SUMIFS(IslandModel_1000P[Resource 2 Qty],IslandModel_1000P[Resource 2],IslandModel_1000P[[#This Row],[Input 3]],IslandModel_1000P[ROW ID],"&lt;"&amp;ROW()),
SUMIFS(IslandModel_1000P[Resource 3 Qty],IslandModel_1000P[Resource 3],IslandModel_1000P[[#This Row],[Input 3]],IslandModel_1000P[ROW ID],"&lt;"&amp;ROW()),
SUMIFS(IslandModel_1000P[Resource 4 Qty],IslandModel_1000P[Resource 4],IslandModel_1000P[[#This Row],[Input 3]],IslandModel_1000P[ROW ID],"&lt;"&amp;ROW()),
SUMIFS(IslandModel_1000P[Resource 5 Qty],IslandModel_1000P[Resource 5],IslandModel_1000P[[#This Row],[Input 3]],IslandModel_1000P[ROW ID],"&lt;"&amp;ROW()),
SUMIFS(IslandModel_1000P[Resource 6 Qty],IslandModel_1000P[Resource 6],IslandModel_1000P[[#This Row],[Input 3]],IslandModel_1000P[ROW ID],"&lt;"&amp;ROW()),
SUMIFS(IslandModel_1000P[Resource 7 Qty],IslandModel_1000P[Resource 7],IslandModel_1000P[[#This Row],[Input 3]],IslandModel_1000P[ROW ID],"&lt;"&amp;ROW()),
SUMIFS(IslandModel_1000P[Resource 8 Qty],IslandModel_1000P[Resource 8],IslandModel_1000P[[#This Row],[Input 3]],IslandModel_1000P[ROW ID],"&lt;"&amp;ROW()),
SUMIFS(IslandModel_1000P[Resource 9 Qty],IslandModel_1000P[Resource 9],IslandModel_1000P[[#This Row],[Input 3]],IslandModel_1000P[ROW ID],"&lt;"&amp;ROW()),
SUMIFS(IslandModel_1000P[Resource 10 Qty],IslandModel_1000P[Resource 10],IslandModel_1000P[[#This Row],[Input 3]],IslandModel_1000P[ROW ID],"&lt;"&amp;ROW()),
SUMIFS(IslandModel_1000P[Resource 11 Qty],IslandModel_1000P[Resource 11],IslandModel_1000P[[#This Row],[Input 3]],IslandModel_1000P[ROW ID],"&lt;"&amp;ROW())
))</f>
        <v>15</v>
      </c>
      <c r="BB147" s="41">
        <f>IF(OR(IslandModel_1000P[[#This Row],[Assume All Inputs Are Available?]]="Yes",IslandModel_1000P[[#This Row],[Input 3 Assume Available]]="Yes"),0,
IFERROR(MIN(IslandModel_1000P[[#This Row],[Input Consumption Multiplier]]*IslandModel_1000P[[#This Row],[Input 3 Needed]],IslandModel_1000P[[#This Row],[Input 3 Available]],IslandModel_1000P[[#This Row],[Input 3 Needed]]),0))</f>
        <v>15</v>
      </c>
      <c r="BC147" s="35">
        <f>IFERROR(INDEX(Production[Input 4],MATCH(IslandModel_1000P[[#This Row],[Building]],Production[Building],0)),"")</f>
        <v>0</v>
      </c>
      <c r="BD147" s="78"/>
      <c r="BE147" s="41">
        <f>IFERROR(
INDEX(Production[Input 4 Quantity],MATCH(IslandModel_1000P[[#This Row],[Building]],Production[Building],0))
*IslandModel_1000P[[#This Row],[Quantity]]
*IF(OR(IslandModel_1000P[[#This Row],[Input 4]]="Land tile",IslandModel_1000P[[#This Row],[Input 4]]="Water tile",IslandModel_1000P[[#This Row],[Input 4]]="Mountain tile"),1,INDEX(Production[Consumption multiplier],MATCH(IslandModel_1000P[[#This Row],[Building]],Production[Building],0))),"")</f>
        <v>0</v>
      </c>
      <c r="BF147" s="41">
        <f>IF(OR(IslandModel_1000P[[#This Row],[Assume All Inputs Are Available?]]="Yes",IslandModel_1000P[[#This Row],[Input 4 Assume Available]]="Yes"),IslandModel_1000P[[#This Row],[Input 4 Needed]],
SUM(SUMIFS(IslandModel_1000P[Resource 1 Qty],IslandModel_1000P[Resource 1],IslandModel_1000P[[#This Row],[Input 4]],IslandModel_1000P[ROW ID],"&lt;"&amp;ROW()),
SUMIFS(IslandModel_1000P[Resource 2 Qty],IslandModel_1000P[Resource 2],IslandModel_1000P[[#This Row],[Input 4]],IslandModel_1000P[ROW ID],"&lt;"&amp;ROW()),
SUMIFS(IslandModel_1000P[Resource 3 Qty],IslandModel_1000P[Resource 3],IslandModel_1000P[[#This Row],[Input 4]],IslandModel_1000P[ROW ID],"&lt;"&amp;ROW()),
SUMIFS(IslandModel_1000P[Resource 4 Qty],IslandModel_1000P[Resource 4],IslandModel_1000P[[#This Row],[Input 4]],IslandModel_1000P[ROW ID],"&lt;"&amp;ROW()),
SUMIFS(IslandModel_1000P[Resource 5 Qty],IslandModel_1000P[Resource 5],IslandModel_1000P[[#This Row],[Input 4]],IslandModel_1000P[ROW ID],"&lt;"&amp;ROW()),
SUMIFS(IslandModel_1000P[Resource 6 Qty],IslandModel_1000P[Resource 6],IslandModel_1000P[[#This Row],[Input 4]],IslandModel_1000P[ROW ID],"&lt;"&amp;ROW()),
SUMIFS(IslandModel_1000P[Resource 7 Qty],IslandModel_1000P[Resource 7],IslandModel_1000P[[#This Row],[Input 4]],IslandModel_1000P[ROW ID],"&lt;"&amp;ROW()),
SUMIFS(IslandModel_1000P[Resource 8 Qty],IslandModel_1000P[Resource 8],IslandModel_1000P[[#This Row],[Input 4]],IslandModel_1000P[ROW ID],"&lt;"&amp;ROW()),
SUMIFS(IslandModel_1000P[Resource 9 Qty],IslandModel_1000P[Resource 9],IslandModel_1000P[[#This Row],[Input 4]],IslandModel_1000P[ROW ID],"&lt;"&amp;ROW()),
SUMIFS(IslandModel_1000P[Resource 10 Qty],IslandModel_1000P[Resource 10],IslandModel_1000P[[#This Row],[Input 4]],IslandModel_1000P[ROW ID],"&lt;"&amp;ROW()),
SUMIFS(IslandModel_1000P[Resource 11 Qty],IslandModel_1000P[Resource 11],IslandModel_1000P[[#This Row],[Input 4]],IslandModel_1000P[ROW ID],"&lt;"&amp;ROW())
))</f>
        <v>0</v>
      </c>
      <c r="BG147" s="80">
        <f>IF(OR(IslandModel_1000P[[#This Row],[Assume All Inputs Are Available?]]="Yes",IslandModel_1000P[[#This Row],[Input 4 Assume Available]]="Yes"),0,IFERROR(MIN(IslandModel_1000P[[#This Row],[Input Consumption Multiplier]]*IslandModel_1000P[[#This Row],[Input 4 Needed]],IslandModel_1000P[[#This Row],[Input 4 Available]],IslandModel_1000P[[#This Row],[Input 4 Needed]]),0))</f>
        <v>0</v>
      </c>
      <c r="BH147" s="35">
        <f>IFERROR(INDEX(Production[Input 5],MATCH(IslandModel_1000P[[#This Row],[Building]],Production[Building],0)),"")</f>
        <v>0</v>
      </c>
      <c r="BI147" s="78"/>
      <c r="BJ147" s="41">
        <f>IFERROR(
INDEX(Production[Input 5 Quantity],MATCH(IslandModel_1000P[[#This Row],[Building]],Production[Building],0))
*IslandModel_1000P[[#This Row],[Quantity]]
*IF(OR(IslandModel_1000P[[#This Row],[Input 5]]="Land tile",IslandModel_1000P[[#This Row],[Input 5]]="Water tile",IslandModel_1000P[[#This Row],[Input 5]]="Mountain tile"),1,INDEX(Production[Consumption multiplier],MATCH(IslandModel_1000P[[#This Row],[Building]],Production[Building],0))),"")</f>
        <v>0</v>
      </c>
      <c r="BK147" s="41">
        <f>IF(OR(IslandModel_1000P[[#This Row],[Assume All Inputs Are Available?]]="Yes",IslandModel_1000P[[#This Row],[Input 5 Assume Available]]="Yes"),IslandModel_1000P[[#This Row],[Input 5 Needed]],
SUM(SUMIFS(IslandModel_1000P[Resource 1 Qty],IslandModel_1000P[Resource 1],IslandModel_1000P[[#This Row],[Input 5]],IslandModel_1000P[ROW ID],"&lt;"&amp;ROW()),
SUMIFS(IslandModel_1000P[Resource 2 Qty],IslandModel_1000P[Resource 2],IslandModel_1000P[[#This Row],[Input 5]],IslandModel_1000P[ROW ID],"&lt;"&amp;ROW()),
SUMIFS(IslandModel_1000P[Resource 3 Qty],IslandModel_1000P[Resource 3],IslandModel_1000P[[#This Row],[Input 5]],IslandModel_1000P[ROW ID],"&lt;"&amp;ROW()),
SUMIFS(IslandModel_1000P[Resource 4 Qty],IslandModel_1000P[Resource 4],IslandModel_1000P[[#This Row],[Input 5]],IslandModel_1000P[ROW ID],"&lt;"&amp;ROW()),
SUMIFS(IslandModel_1000P[Resource 5 Qty],IslandModel_1000P[Resource 5],IslandModel_1000P[[#This Row],[Input 5]],IslandModel_1000P[ROW ID],"&lt;"&amp;ROW()),
SUMIFS(IslandModel_1000P[Resource 6 Qty],IslandModel_1000P[Resource 6],IslandModel_1000P[[#This Row],[Input 5]],IslandModel_1000P[ROW ID],"&lt;"&amp;ROW()),
SUMIFS(IslandModel_1000P[Resource 7 Qty],IslandModel_1000P[Resource 7],IslandModel_1000P[[#This Row],[Input 5]],IslandModel_1000P[ROW ID],"&lt;"&amp;ROW()),
SUMIFS(IslandModel_1000P[Resource 8 Qty],IslandModel_1000P[Resource 8],IslandModel_1000P[[#This Row],[Input 5]],IslandModel_1000P[ROW ID],"&lt;"&amp;ROW()),
SUMIFS(IslandModel_1000P[Resource 9 Qty],IslandModel_1000P[Resource 9],IslandModel_1000P[[#This Row],[Input 5]],IslandModel_1000P[ROW ID],"&lt;"&amp;ROW()),
SUMIFS(IslandModel_1000P[Resource 10 Qty],IslandModel_1000P[Resource 10],IslandModel_1000P[[#This Row],[Input 5]],IslandModel_1000P[ROW ID],"&lt;"&amp;ROW()),
SUMIFS(IslandModel_1000P[Resource 11 Qty],IslandModel_1000P[Resource 11],IslandModel_1000P[[#This Row],[Input 5]],IslandModel_1000P[ROW ID],"&lt;"&amp;ROW())
))</f>
        <v>0</v>
      </c>
      <c r="BL147" s="80">
        <f>IF(OR(IslandModel_1000P[[#This Row],[Assume All Inputs Are Available?]]="Yes",IslandModel_1000P[[#This Row],[Input 5 Assume Available]]="Yes"),0,IFERROR(MIN(IslandModel_1000P[[#This Row],[Input Consumption Multiplier]]*IslandModel_1000P[[#This Row],[Input 5 Needed]],IslandModel_1000P[[#This Row],[Input 5 Available]],IslandModel_1000P[[#This Row],[Input 5 Needed]]),0))</f>
        <v>0</v>
      </c>
      <c r="BM147" s="35">
        <f>IFERROR(INDEX(Production[Input 6],MATCH(IslandModel_1000P[[#This Row],[Building]],Production[Building],0)),"")</f>
        <v>0</v>
      </c>
      <c r="BN147" s="78"/>
      <c r="BO147" s="41">
        <f>IFERROR(
INDEX(Production[Input 6 Quantity],MATCH(IslandModel_1000P[[#This Row],[Building]],Production[Building],0))
*IslandModel_1000P[[#This Row],[Quantity]]
*IF(OR(IslandModel_1000P[[#This Row],[Input 6]]="Land tile",IslandModel_1000P[[#This Row],[Input 6]]="Water tile",IslandModel_1000P[[#This Row],[Input 6]]="Mountain tile"),1,INDEX(Production[Consumption multiplier],MATCH(IslandModel_1000P[[#This Row],[Building]],Production[Building],0))),"")</f>
        <v>0</v>
      </c>
      <c r="BP147" s="41">
        <f>IF(OR(IslandModel_1000P[[#This Row],[Assume All Inputs Are Available?]]="Yes",IslandModel_1000P[[#This Row],[Input 6 Assume Available]]="Yes"),IslandModel_1000P[[#This Row],[Input 6 Needed]],
SUM(SUMIFS(IslandModel_1000P[Resource 1 Qty],IslandModel_1000P[Resource 1],IslandModel_1000P[[#This Row],[Input 6]],IslandModel_1000P[ROW ID],"&lt;"&amp;ROW()),
SUMIFS(IslandModel_1000P[Resource 2 Qty],IslandModel_1000P[Resource 2],IslandModel_1000P[[#This Row],[Input 6]],IslandModel_1000P[ROW ID],"&lt;"&amp;ROW()),
SUMIFS(IslandModel_1000P[Resource 3 Qty],IslandModel_1000P[Resource 3],IslandModel_1000P[[#This Row],[Input 6]],IslandModel_1000P[ROW ID],"&lt;"&amp;ROW()),
SUMIFS(IslandModel_1000P[Resource 4 Qty],IslandModel_1000P[Resource 4],IslandModel_1000P[[#This Row],[Input 6]],IslandModel_1000P[ROW ID],"&lt;"&amp;ROW()),
SUMIFS(IslandModel_1000P[Resource 5 Qty],IslandModel_1000P[Resource 5],IslandModel_1000P[[#This Row],[Input 6]],IslandModel_1000P[ROW ID],"&lt;"&amp;ROW()),
SUMIFS(IslandModel_1000P[Resource 6 Qty],IslandModel_1000P[Resource 6],IslandModel_1000P[[#This Row],[Input 6]],IslandModel_1000P[ROW ID],"&lt;"&amp;ROW()),
SUMIFS(IslandModel_1000P[Resource 7 Qty],IslandModel_1000P[Resource 7],IslandModel_1000P[[#This Row],[Input 6]],IslandModel_1000P[ROW ID],"&lt;"&amp;ROW()),
SUMIFS(IslandModel_1000P[Resource 8 Qty],IslandModel_1000P[Resource 8],IslandModel_1000P[[#This Row],[Input 6]],IslandModel_1000P[ROW ID],"&lt;"&amp;ROW()),
SUMIFS(IslandModel_1000P[Resource 9 Qty],IslandModel_1000P[Resource 9],IslandModel_1000P[[#This Row],[Input 6]],IslandModel_1000P[ROW ID],"&lt;"&amp;ROW()),
SUMIFS(IslandModel_1000P[Resource 10 Qty],IslandModel_1000P[Resource 10],IslandModel_1000P[[#This Row],[Input 6]],IslandModel_1000P[ROW ID],"&lt;"&amp;ROW()),
SUMIFS(IslandModel_1000P[Resource 11 Qty],IslandModel_1000P[Resource 11],IslandModel_1000P[[#This Row],[Input 7]],IslandModel_1000P[ROW ID],"&lt;"&amp;ROW())
))</f>
        <v>0</v>
      </c>
      <c r="BQ147" s="80">
        <f>IF(OR(IslandModel_1000P[[#This Row],[Assume All Inputs Are Available?]]="Yes",IslandModel_1000P[[#This Row],[Input 6 Assume Available]]="Yes"),0,IFERROR(MIN(IslandModel_1000P[[#This Row],[Input Consumption Multiplier]]*IslandModel_1000P[[#This Row],[Input 6 Needed]],IslandModel_1000P[[#This Row],[Input 6 Available]],IslandModel_1000P[[#This Row],[Input 6 Needed]]),0))</f>
        <v>0</v>
      </c>
      <c r="BR147" s="35">
        <f>IFERROR(INDEX(Production[Input 7],MATCH(IslandModel_1000P[[#This Row],[Building]],Production[Building],0)),"")</f>
        <v>0</v>
      </c>
      <c r="BS147" s="78"/>
      <c r="BT147" s="41">
        <f>IFERROR(
INDEX(Production[Input 7 Quantity],MATCH(IslandModel_1000P[[#This Row],[Building]],Production[Building],0))
*IslandModel_1000P[[#This Row],[Quantity]]
*IF(OR(IslandModel_1000P[[#This Row],[Input 7]]="Land tile",IslandModel_1000P[[#This Row],[Input 7]]="Water tile",IslandModel_1000P[[#This Row],[Input 7]]="Mountain tile"),1,INDEX(Production[Consumption multiplier],MATCH(IslandModel_1000P[[#This Row],[Building]],Production[Building],0))),"")</f>
        <v>0</v>
      </c>
      <c r="BU147" s="41">
        <f>IF(OR(IslandModel_1000P[[#This Row],[Assume All Inputs Are Available?]]="Yes",IslandModel_1000P[[#This Row],[Input 7 Assume Available]]="Yes"),IslandModel_1000P[[#This Row],[Input 7 Needed]],
SUM(SUMIFS(IslandModel_1000P[Resource 1 Qty],IslandModel_1000P[Resource 1],IslandModel_1000P[[#This Row],[Input 7]],IslandModel_1000P[ROW ID],"&lt;"&amp;ROW()),
SUMIFS(IslandModel_1000P[Resource 2 Qty],IslandModel_1000P[Resource 2],IslandModel_1000P[[#This Row],[Input 7]],IslandModel_1000P[ROW ID],"&lt;"&amp;ROW()),
SUMIFS(IslandModel_1000P[Resource 3 Qty],IslandModel_1000P[Resource 3],IslandModel_1000P[[#This Row],[Input 7]],IslandModel_1000P[ROW ID],"&lt;"&amp;ROW()),
SUMIFS(IslandModel_1000P[Resource 4 Qty],IslandModel_1000P[Resource 4],IslandModel_1000P[[#This Row],[Input 7]],IslandModel_1000P[ROW ID],"&lt;"&amp;ROW()),
SUMIFS(IslandModel_1000P[Resource 5 Qty],IslandModel_1000P[Resource 5],IslandModel_1000P[[#This Row],[Input 7]],IslandModel_1000P[ROW ID],"&lt;"&amp;ROW()),
SUMIFS(IslandModel_1000P[Resource 6 Qty],IslandModel_1000P[Resource 6],IslandModel_1000P[[#This Row],[Input 7]],IslandModel_1000P[ROW ID],"&lt;"&amp;ROW()),
SUMIFS(IslandModel_1000P[Resource 7 Qty],IslandModel_1000P[Resource 7],IslandModel_1000P[[#This Row],[Input 7]],IslandModel_1000P[ROW ID],"&lt;"&amp;ROW()),
SUMIFS(IslandModel_1000P[Resource 8 Qty],IslandModel_1000P[Resource 8],IslandModel_1000P[[#This Row],[Input 7]],IslandModel_1000P[ROW ID],"&lt;"&amp;ROW()),
SUMIFS(IslandModel_1000P[Resource 9 Qty],IslandModel_1000P[Resource 9],IslandModel_1000P[[#This Row],[Input 7]],IslandModel_1000P[ROW ID],"&lt;"&amp;ROW()),
SUMIFS(IslandModel_1000P[Resource 10 Qty],IslandModel_1000P[Resource 10],IslandModel_1000P[[#This Row],[Input 7]],IslandModel_1000P[ROW ID],"&lt;"&amp;ROW()),
SUMIFS(IslandModel_1000P[Resource 11 Qty],IslandModel_1000P[Resource 11],IslandModel_1000P[[#This Row],[Input 7]],IslandModel_1000P[ROW ID],"&lt;"&amp;ROW())
))</f>
        <v>0</v>
      </c>
      <c r="BV147" s="80">
        <f>IF(OR(IslandModel_1000P[[#This Row],[Assume All Inputs Are Available?]]="Yes",IslandModel_1000P[[#This Row],[Input 7 Assume Available]]="Yes"),0,IFERROR(MIN(IslandModel_1000P[[#This Row],[Input Consumption Multiplier]]*IslandModel_1000P[[#This Row],[Input 7 Needed]],IslandModel_1000P[[#This Row],[Input 7 Available]],IslandModel_1000P[[#This Row],[Input 7 Needed]]),0))</f>
        <v>0</v>
      </c>
      <c r="BW147" s="35">
        <f>IFERROR(INDEX(Production[Input 8],MATCH(IslandModel_1000P[[#This Row],[Building]],Production[Building],0)),"")</f>
        <v>0</v>
      </c>
      <c r="BX147" s="78"/>
      <c r="BY147" s="41">
        <f>IFERROR(
INDEX(Production[Input 8 Quantity],MATCH(IslandModel_1000P[[#This Row],[Building]],Production[Building],0))
*IslandModel_1000P[[#This Row],[Quantity]]
*IF(OR(IslandModel_1000P[[#This Row],[Input 8]]="Land tile",IslandModel_1000P[[#This Row],[Input 8]]="Water tile",IslandModel_1000P[[#This Row],[Input 8]]="Mountain tile"),1,INDEX(Production[Consumption multiplier],MATCH(IslandModel_1000P[[#This Row],[Building]],Production[Building],0))),"")</f>
        <v>0</v>
      </c>
      <c r="BZ147" s="41">
        <f>IF(OR(IslandModel_1000P[[#This Row],[Assume All Inputs Are Available?]]="Yes",IslandModel_1000P[[#This Row],[Input 8 Assume Available]]="Yes"),IslandModel_1000P[[#This Row],[Input 8 Needed]],
SUM(SUMIFS(IslandModel_1000P[Resource 1 Qty],IslandModel_1000P[Resource 1],IslandModel_1000P[[#This Row],[Input 8]],IslandModel_1000P[ROW ID],"&lt;"&amp;ROW()),
SUMIFS(IslandModel_1000P[Resource 2 Qty],IslandModel_1000P[Resource 2],IslandModel_1000P[[#This Row],[Input 8]],IslandModel_1000P[ROW ID],"&lt;"&amp;ROW()),
SUMIFS(IslandModel_1000P[Resource 3 Qty],IslandModel_1000P[Resource 3],IslandModel_1000P[[#This Row],[Input 8]],IslandModel_1000P[ROW ID],"&lt;"&amp;ROW()),
SUMIFS(IslandModel_1000P[Resource 4 Qty],IslandModel_1000P[Resource 4],IslandModel_1000P[[#This Row],[Input 8]],IslandModel_1000P[ROW ID],"&lt;"&amp;ROW()),
SUMIFS(IslandModel_1000P[Resource 5 Qty],IslandModel_1000P[Resource 5],IslandModel_1000P[[#This Row],[Input 8]],IslandModel_1000P[ROW ID],"&lt;"&amp;ROW()),
SUMIFS(IslandModel_1000P[Resource 6 Qty],IslandModel_1000P[Resource 6],IslandModel_1000P[[#This Row],[Input 8]],IslandModel_1000P[ROW ID],"&lt;"&amp;ROW()),
SUMIFS(IslandModel_1000P[Resource 7 Qty],IslandModel_1000P[Resource 7],IslandModel_1000P[[#This Row],[Input 8]],IslandModel_1000P[ROW ID],"&lt;"&amp;ROW()),
SUMIFS(IslandModel_1000P[Resource 8 Qty],IslandModel_1000P[Resource 8],IslandModel_1000P[[#This Row],[Input 8]],IslandModel_1000P[ROW ID],"&lt;"&amp;ROW()),
SUMIFS(IslandModel_1000P[Resource 9 Qty],IslandModel_1000P[Resource 9],IslandModel_1000P[[#This Row],[Input 8]],IslandModel_1000P[ROW ID],"&lt;"&amp;ROW()),
SUMIFS(IslandModel_1000P[Resource 10 Qty],IslandModel_1000P[Resource 10],IslandModel_1000P[[#This Row],[Input 8]],IslandModel_1000P[ROW ID],"&lt;"&amp;ROW()),
SUMIFS(IslandModel_1000P[Resource 11 Qty],IslandModel_1000P[Resource 11],IslandModel_1000P[[#This Row],[Input 8]],IslandModel_1000P[ROW ID],"&lt;"&amp;ROW())
))</f>
        <v>0</v>
      </c>
      <c r="CA147" s="80">
        <f>IF(OR(IslandModel_1000P[[#This Row],[Assume All Inputs Are Available?]]="Yes",IslandModel_1000P[[#This Row],[Input 8 Assume Available]]="Yes"),0,IFERROR(MIN(IslandModel_1000P[[#This Row],[Input Consumption Multiplier]]*IslandModel_1000P[[#This Row],[Input 8 Needed]],IslandModel_1000P[[#This Row],[Input 8 Available]],IslandModel_1000P[[#This Row],[Input 8 Needed]]),0))</f>
        <v>0</v>
      </c>
      <c r="CB147" s="35">
        <f>IFERROR(INDEX(Production[Input 9],MATCH(IslandModel_1000P[[#This Row],[Building]],Production[Building],0)),"")</f>
        <v>0</v>
      </c>
      <c r="CC147" s="78"/>
      <c r="CD147" s="41">
        <f>IFERROR(
INDEX(Production[Input 9 Quantity],MATCH(IslandModel_1000P[[#This Row],[Building]],Production[Building],0))
*IslandModel_1000P[[#This Row],[Quantity]]
*IF(OR(IslandModel_1000P[[#This Row],[Input 9]]="Land tile",IslandModel_1000P[[#This Row],[Input 9]]="Water tile",IslandModel_1000P[[#This Row],[Input 9]]="Mountain tile"),1,INDEX(Production[Consumption multiplier],MATCH(IslandModel_1000P[[#This Row],[Building]],Production[Building],0))),"")</f>
        <v>0</v>
      </c>
      <c r="CE147" s="41">
        <f>IF(OR(IslandModel_1000P[[#This Row],[Assume All Inputs Are Available?]]="Yes",IslandModel_1000P[[#This Row],[Input 9 Assume Available]]="Yes"),IslandModel_1000P[[#This Row],[Input 9 Needed]],
SUM(SUMIFS(IslandModel_1000P[Resource 1 Qty],IslandModel_1000P[Resource 1],IslandModel_1000P[[#This Row],[Input 9]],IslandModel_1000P[ROW ID],"&lt;"&amp;ROW()),
SUMIFS(IslandModel_1000P[Resource 2 Qty],IslandModel_1000P[Resource 2],IslandModel_1000P[[#This Row],[Input 9]],IslandModel_1000P[ROW ID],"&lt;"&amp;ROW()),
SUMIFS(IslandModel_1000P[Resource 3 Qty],IslandModel_1000P[Resource 3],IslandModel_1000P[[#This Row],[Input 9]],IslandModel_1000P[ROW ID],"&lt;"&amp;ROW()),
SUMIFS(IslandModel_1000P[Resource 4 Qty],IslandModel_1000P[Resource 4],IslandModel_1000P[[#This Row],[Input 9]],IslandModel_1000P[ROW ID],"&lt;"&amp;ROW()),
SUMIFS(IslandModel_1000P[Resource 5 Qty],IslandModel_1000P[Resource 5],IslandModel_1000P[[#This Row],[Input 9]],IslandModel_1000P[ROW ID],"&lt;"&amp;ROW()),
SUMIFS(IslandModel_1000P[Resource 6 Qty],IslandModel_1000P[Resource 6],IslandModel_1000P[[#This Row],[Input 9]],IslandModel_1000P[ROW ID],"&lt;"&amp;ROW()),
SUMIFS(IslandModel_1000P[Resource 7 Qty],IslandModel_1000P[Resource 7],IslandModel_1000P[[#This Row],[Input 9]],IslandModel_1000P[ROW ID],"&lt;"&amp;ROW()),
SUMIFS(IslandModel_1000P[Resource 8 Qty],IslandModel_1000P[Resource 8],IslandModel_1000P[[#This Row],[Input 9]],IslandModel_1000P[ROW ID],"&lt;"&amp;ROW()),
SUMIFS(IslandModel_1000P[Resource 9 Qty],IslandModel_1000P[Resource 9],IslandModel_1000P[[#This Row],[Input 9]],IslandModel_1000P[ROW ID],"&lt;"&amp;ROW()),
SUMIFS(IslandModel_1000P[Resource 10 Qty],IslandModel_1000P[Resource 10],IslandModel_1000P[[#This Row],[Input 9]],IslandModel_1000P[ROW ID],"&lt;"&amp;ROW()),
SUMIFS(IslandModel_1000P[Resource 11 Qty],IslandModel_1000P[Resource 11],IslandModel_1000P[[#This Row],[Input 9]],IslandModel_1000P[ROW ID],"&lt;"&amp;ROW())
))</f>
        <v>0</v>
      </c>
      <c r="CF147" s="80">
        <f>IF(OR(IslandModel_1000P[[#This Row],[Assume All Inputs Are Available?]]="Yes",IslandModel_1000P[[#This Row],[Input 9 Assume Available]]="Yes"),0,IFERROR(MIN(IslandModel_1000P[[#This Row],[Input Consumption Multiplier]]*IslandModel_1000P[[#This Row],[Input 9 Needed]],IslandModel_1000P[[#This Row],[Input 9 Available]],IslandModel_1000P[[#This Row],[Input 9 Needed]]),0))</f>
        <v>0</v>
      </c>
      <c r="CG147" s="35">
        <f>IFERROR(INDEX(Production[Input 10],MATCH(IslandModel_1000P[[#This Row],[Building]],Production[Building],0)),"")</f>
        <v>0</v>
      </c>
      <c r="CH147" s="78"/>
      <c r="CI147" s="41">
        <f>IFERROR(
INDEX(Production[Input 10 Quantity],MATCH(IslandModel_1000P[[#This Row],[Building]],Production[Building],0))
*IslandModel_1000P[[#This Row],[Quantity]]
*IF(OR(IslandModel_1000P[[#This Row],[Input 10]]="Land tile",IslandModel_1000P[[#This Row],[Input 10]]="Water tile",IslandModel_1000P[[#This Row],[Input 10]]="Mountain tile"),1,INDEX(Production[Consumption multiplier],MATCH(IslandModel_1000P[[#This Row],[Building]],Production[Building],0))),"")</f>
        <v>0</v>
      </c>
      <c r="CJ147" s="41">
        <f>IF(OR(IslandModel_1000P[[#This Row],[Assume All Inputs Are Available?]]="Yes",IslandModel_1000P[[#This Row],[Input 10 Assume Available]]="Yes"),IslandModel_1000P[[#This Row],[Input 10 Needed]],
SUM(SUMIFS(IslandModel_1000P[Resource 1 Qty],IslandModel_1000P[Resource 1],IslandModel_1000P[[#This Row],[Input 10]],IslandModel_1000P[ROW ID],"&lt;"&amp;ROW()),
SUMIFS(IslandModel_1000P[Resource 2 Qty],IslandModel_1000P[Resource 2],IslandModel_1000P[[#This Row],[Input 10]],IslandModel_1000P[ROW ID],"&lt;"&amp;ROW()),
SUMIFS(IslandModel_1000P[Resource 3 Qty],IslandModel_1000P[Resource 3],IslandModel_1000P[[#This Row],[Input 10]],IslandModel_1000P[ROW ID],"&lt;"&amp;ROW()),
SUMIFS(IslandModel_1000P[Resource 4 Qty],IslandModel_1000P[Resource 4],IslandModel_1000P[[#This Row],[Input 10]],IslandModel_1000P[ROW ID],"&lt;"&amp;ROW()),
SUMIFS(IslandModel_1000P[Resource 5 Qty],IslandModel_1000P[Resource 5],IslandModel_1000P[[#This Row],[Input 10]],IslandModel_1000P[ROW ID],"&lt;"&amp;ROW()),
SUMIFS(IslandModel_1000P[Resource 6 Qty],IslandModel_1000P[Resource 6],IslandModel_1000P[[#This Row],[Input 10]],IslandModel_1000P[ROW ID],"&lt;"&amp;ROW()),
SUMIFS(IslandModel_1000P[Resource 7 Qty],IslandModel_1000P[Resource 7],IslandModel_1000P[[#This Row],[Input 10]],IslandModel_1000P[ROW ID],"&lt;"&amp;ROW()),
SUMIFS(IslandModel_1000P[Resource 8 Qty],IslandModel_1000P[Resource 8],IslandModel_1000P[[#This Row],[Input 10]],IslandModel_1000P[ROW ID],"&lt;"&amp;ROW()),
SUMIFS(IslandModel_1000P[Resource 9 Qty],IslandModel_1000P[Resource 9],IslandModel_1000P[[#This Row],[Input 10]],IslandModel_1000P[ROW ID],"&lt;"&amp;ROW()),
SUMIFS(IslandModel_1000P[Resource 10 Qty],IslandModel_1000P[Resource 10],IslandModel_1000P[[#This Row],[Input 10]],IslandModel_1000P[ROW ID],"&lt;"&amp;ROW()),
SUMIFS(IslandModel_1000P[Resource 11 Qty],IslandModel_1000P[Resource 11],IslandModel_1000P[[#This Row],[Input 10]],IslandModel_1000P[ROW ID],"&lt;"&amp;ROW())
))</f>
        <v>0</v>
      </c>
      <c r="CK147" s="80">
        <f>IF(OR(IslandModel_1000P[[#This Row],[Assume All Inputs Are Available?]]="Yes",IslandModel_1000P[[#This Row],[Input 10 Assume Available]]="Yes"),0,IFERROR(MIN(IslandModel_1000P[[#This Row],[Input Consumption Multiplier]]*IslandModel_1000P[[#This Row],[Input 10 Needed]],IslandModel_1000P[[#This Row],[Input 10 Available]],IslandModel_1000P[[#This Row],[Input 10 Needed]]),0))</f>
        <v>0</v>
      </c>
      <c r="CL147" s="100">
        <f>MIN(IslandModel_1000P[[#This Row],[% to scale production by]],
IFERROR(IslandModel_1000P[[#This Row],[Input 1 Available]]/IslandModel_1000P[[#This Row],[Input 1 Needed]],1),
IFERROR(IslandModel_1000P[[#This Row],[Input 2 Available]]/IslandModel_1000P[[#This Row],[Input 2 Needed]],1),
IFERROR(IslandModel_1000P[[#This Row],[Input 3 Available]]/IslandModel_1000P[[#This Row],[Input 3 Needed]],1),
IFERROR(IslandModel_1000P[[#This Row],[Input 4 Available]]/IslandModel_1000P[[#This Row],[Input 4 Needed]],1),
IFERROR(IslandModel_1000P[[#This Row],[Input 5 Available]]/IslandModel_1000P[[#This Row],[Input 5 Needed]],1),
IFERROR(IslandModel_1000P[[#This Row],[Input 6 Available]]/IslandModel_1000P[[#This Row],[Input 6 Needed]],1),
IFERROR(IslandModel_1000P[[#This Row],[Input 7 Available]]/IslandModel_1000P[[#This Row],[Input 7 Needed]],1),
IFERROR(IslandModel_1000P[[#This Row],[Input 8 Available]]/IslandModel_1000P[[#This Row],[Input 8 Needed]],1),
IFERROR(IslandModel_1000P[[#This Row],[Input 9 Available]]/IslandModel_1000P[[#This Row],[Input 9 Needed]],1),
IFERROR(IslandModel_1000P[[#This Row],[Input 10 Available]]/IslandModel_1000P[[#This Row],[Input 10 Needed]],1))</f>
        <v>1</v>
      </c>
      <c r="CM147" s="82" t="str">
        <f>IslandModel_1000P[[#This Row],[Resource Produced]]</f>
        <v>Steel Ingot</v>
      </c>
      <c r="CN147" s="42">
        <f>IslandModel_1000P[[#This Row],[Amount produced/h]]</f>
        <v>15</v>
      </c>
      <c r="CO147" s="42" t="str">
        <f>IslandModel_1000P[[#This Row],[Input 1]]</f>
        <v>Land tile</v>
      </c>
      <c r="CP147" s="42">
        <f>-IslandModel_1000P[[#This Row],[Input 1 Consumed]]</f>
        <v>-1</v>
      </c>
      <c r="CQ147" s="42" t="str">
        <f>IslandModel_1000P[[#This Row],[Input 2]]</f>
        <v>Iron Ingot</v>
      </c>
      <c r="CR147" s="42">
        <f>-IslandModel_1000P[[#This Row],[Input 2 Consumed]]</f>
        <v>-15</v>
      </c>
      <c r="CS147" s="42" t="str">
        <f>IslandModel_1000P[[#This Row],[Input 3]]</f>
        <v>Coke</v>
      </c>
      <c r="CT147" s="42">
        <f>-IslandModel_1000P[[#This Row],[Input 3 Consumed]]</f>
        <v>-15</v>
      </c>
      <c r="CU147" s="42">
        <f>IslandModel_1000P[[#This Row],[Input 4]]</f>
        <v>0</v>
      </c>
      <c r="CV147" s="42">
        <f>-IslandModel_1000P[[#This Row],[Input 4 Consumed]]</f>
        <v>0</v>
      </c>
      <c r="CW147" s="42">
        <f>IslandModel_1000P[[#This Row],[Input 5]]</f>
        <v>0</v>
      </c>
      <c r="CX147" s="42">
        <f>-IslandModel_1000P[[#This Row],[Input 5 Consumed]]</f>
        <v>0</v>
      </c>
      <c r="CY147" s="42">
        <f>IslandModel_1000P[[#This Row],[Input 6]]</f>
        <v>0</v>
      </c>
      <c r="CZ147" s="42">
        <f>-IslandModel_1000P[[#This Row],[Input 6 Consumed]]</f>
        <v>0</v>
      </c>
      <c r="DA147" s="42">
        <f>IslandModel_1000P[[#This Row],[Input 7]]</f>
        <v>0</v>
      </c>
      <c r="DB147" s="42">
        <f>-IslandModel_1000P[[#This Row],[Input 7 Consumed]]</f>
        <v>0</v>
      </c>
      <c r="DC147" s="42">
        <f>IslandModel_1000P[[#This Row],[Input 8]]</f>
        <v>0</v>
      </c>
      <c r="DD147" s="42">
        <f>-IslandModel_1000P[[#This Row],[Input 8 Consumed]]</f>
        <v>0</v>
      </c>
      <c r="DE147" s="42">
        <f>IslandModel_1000P[[#This Row],[Input 9]]</f>
        <v>0</v>
      </c>
      <c r="DF147" s="42">
        <f>-IslandModel_1000P[[#This Row],[Input 9 Consumed]]</f>
        <v>0</v>
      </c>
      <c r="DG147" s="42">
        <f>IslandModel_1000P[[#This Row],[Input 10]]</f>
        <v>0</v>
      </c>
      <c r="DH147" s="42">
        <f>-IslandModel_1000P[[#This Row],[Input 10 Consumed]]</f>
        <v>0</v>
      </c>
    </row>
  </sheetData>
  <conditionalFormatting sqref="J21:J70">
    <cfRule type="dataBar" priority="10">
      <dataBar>
        <cfvo type="num" val="0"/>
        <cfvo type="num" val="1"/>
        <color rgb="FF63C384"/>
      </dataBar>
      <extLst>
        <ext xmlns:x14="http://schemas.microsoft.com/office/spreadsheetml/2009/9/main" uri="{B025F937-C7B1-47D3-B67F-A62EFF666E3E}">
          <x14:id>{C6E4330D-57B8-4A5E-98F4-7B313C1BF812}</x14:id>
        </ext>
      </extLst>
    </cfRule>
  </conditionalFormatting>
  <conditionalFormatting sqref="D10:D16">
    <cfRule type="dataBar" priority="9">
      <dataBar>
        <cfvo type="num" val="0"/>
        <cfvo type="num" val="1"/>
        <color rgb="FF63C384"/>
      </dataBar>
      <extLst>
        <ext xmlns:x14="http://schemas.microsoft.com/office/spreadsheetml/2009/9/main" uri="{B025F937-C7B1-47D3-B67F-A62EFF666E3E}">
          <x14:id>{9EC6E7C3-2E2A-414A-BD40-14FB66752206}</x14:id>
        </ext>
      </extLst>
    </cfRule>
  </conditionalFormatting>
  <conditionalFormatting sqref="E11:E16">
    <cfRule type="dataBar" priority="8">
      <dataBar>
        <cfvo type="num" val="0"/>
        <cfvo type="num" val="1"/>
        <color rgb="FF63C384"/>
      </dataBar>
      <extLst>
        <ext xmlns:x14="http://schemas.microsoft.com/office/spreadsheetml/2009/9/main" uri="{B025F937-C7B1-47D3-B67F-A62EFF666E3E}">
          <x14:id>{E1DE5964-788E-4E23-805D-616E4613A173}</x14:id>
        </ext>
      </extLst>
    </cfRule>
  </conditionalFormatting>
  <conditionalFormatting sqref="F11:G16">
    <cfRule type="dataBar" priority="7">
      <dataBar>
        <cfvo type="num" val="0"/>
        <cfvo type="num" val="1"/>
        <color rgb="FF63C384"/>
      </dataBar>
      <extLst>
        <ext xmlns:x14="http://schemas.microsoft.com/office/spreadsheetml/2009/9/main" uri="{B025F937-C7B1-47D3-B67F-A62EFF666E3E}">
          <x14:id>{8C86E832-2660-459D-86C2-170E0C17C33F}</x14:id>
        </ext>
      </extLst>
    </cfRule>
  </conditionalFormatting>
  <conditionalFormatting sqref="I21:I70">
    <cfRule type="iconSet" priority="6">
      <iconSet iconSet="3Symbols2">
        <cfvo type="percent" val="0"/>
        <cfvo type="num" val="0" gte="0"/>
        <cfvo type="num" val="0" gte="0"/>
      </iconSet>
    </cfRule>
  </conditionalFormatting>
  <conditionalFormatting sqref="AM21:AM147">
    <cfRule type="notContainsBlanks" dxfId="216" priority="5">
      <formula>LEN(TRIM(AM21))&gt;0</formula>
    </cfRule>
  </conditionalFormatting>
  <conditionalFormatting sqref="V23:W25 V21:V22 V27:W29 V26 V31:W34 V30 V37:W41 V35:V36 V42:V44 V45:W70">
    <cfRule type="dataBar" priority="4">
      <dataBar>
        <cfvo type="num" val="0"/>
        <cfvo type="num" val="1"/>
        <color rgb="FF63C384"/>
      </dataBar>
      <extLst>
        <ext xmlns:x14="http://schemas.microsoft.com/office/spreadsheetml/2009/9/main" uri="{B025F937-C7B1-47D3-B67F-A62EFF666E3E}">
          <x14:id>{A3057B89-E208-4558-83CB-1A8B16AC6F42}</x14:id>
        </ext>
      </extLst>
    </cfRule>
  </conditionalFormatting>
  <conditionalFormatting sqref="CL21:CL147">
    <cfRule type="dataBar" priority="11">
      <dataBar>
        <cfvo type="min"/>
        <cfvo type="max"/>
        <color rgb="FF638EC6"/>
      </dataBar>
      <extLst>
        <ext xmlns:x14="http://schemas.microsoft.com/office/spreadsheetml/2009/9/main" uri="{B025F937-C7B1-47D3-B67F-A62EFF666E3E}">
          <x14:id>{57662CA3-86F7-4D6C-9CD3-E6C2914D186B}</x14:id>
        </ext>
      </extLst>
    </cfRule>
  </conditionalFormatting>
  <conditionalFormatting sqref="AI21:AI147">
    <cfRule type="dataBar" priority="3">
      <dataBar>
        <cfvo type="num" val="0"/>
        <cfvo type="num" val="1"/>
        <color rgb="FF63C384"/>
      </dataBar>
      <extLst>
        <ext xmlns:x14="http://schemas.microsoft.com/office/spreadsheetml/2009/9/main" uri="{B025F937-C7B1-47D3-B67F-A62EFF666E3E}">
          <x14:id>{2CA1CFAF-FD6F-4053-B9FD-C1A1656B08AE}</x14:id>
        </ext>
      </extLst>
    </cfRule>
  </conditionalFormatting>
  <conditionalFormatting sqref="AA22:AA70">
    <cfRule type="dataBar" priority="2">
      <dataBar>
        <cfvo type="num" val="0"/>
        <cfvo type="num" val="1"/>
        <color rgb="FF63C384"/>
      </dataBar>
      <extLst>
        <ext xmlns:x14="http://schemas.microsoft.com/office/spreadsheetml/2009/9/main" uri="{B025F937-C7B1-47D3-B67F-A62EFF666E3E}">
          <x14:id>{D2C7D4CA-6480-462A-B456-BDF29DA1DD89}</x14:id>
        </ext>
      </extLst>
    </cfRule>
  </conditionalFormatting>
  <conditionalFormatting sqref="W42">
    <cfRule type="dataBar" priority="1">
      <dataBar>
        <cfvo type="num" val="0"/>
        <cfvo type="num" val="1"/>
        <color rgb="FF63C384"/>
      </dataBar>
      <extLst>
        <ext xmlns:x14="http://schemas.microsoft.com/office/spreadsheetml/2009/9/main" uri="{B025F937-C7B1-47D3-B67F-A62EFF666E3E}">
          <x14:id>{DF923910-CF35-491F-BEA5-751629A2FA1D}</x14:id>
        </ext>
      </extLst>
    </cfRule>
  </conditionalFormatting>
  <dataValidations count="3">
    <dataValidation type="list" allowBlank="1" showInputMessage="1" sqref="AA21:AA70" xr:uid="{4836308E-DD71-469C-9F3B-F2249A45EA73}">
      <formula1>"Yes,No"</formula1>
    </dataValidation>
    <dataValidation type="list" allowBlank="1" showInputMessage="1" showErrorMessage="1" sqref="O21:O70" xr:uid="{275005E6-9D45-4998-ACC8-F4F42706D7DF}">
      <formula1>$DJ$21:$DJ$119</formula1>
    </dataValidation>
    <dataValidation type="list" allowBlank="1" showInputMessage="1" showErrorMessage="1" sqref="BD21:BD147 AO21:AO147 AT21:AT147 AY21:AY147 CH21:CH147 BI21:BI147 BN21:BN147 BS21:BS147 BX21:BX147 CC21:CC147 AG21:AG27 W21:W70 AG31:AG49 AG68:AG128" xr:uid="{FFA72EB5-739D-42DF-AA20-F8A8EED93654}">
      <formula1>"Yes,No"</formula1>
    </dataValidation>
  </dataValidations>
  <pageMargins left="0.7" right="0.7" top="0.75" bottom="0.75" header="0.3" footer="0.3"/>
  <pageSetup paperSize="9" orientation="portrait" horizontalDpi="4294967293" verticalDpi="0" r:id="rId1"/>
  <tableParts count="5">
    <tablePart r:id="rId2"/>
    <tablePart r:id="rId3"/>
    <tablePart r:id="rId4"/>
    <tablePart r:id="rId5"/>
    <tablePart r:id="rId6"/>
  </tableParts>
  <extLst>
    <ext xmlns:x14="http://schemas.microsoft.com/office/spreadsheetml/2009/9/main" uri="{78C0D931-6437-407d-A8EE-F0AAD7539E65}">
      <x14:conditionalFormattings>
        <x14:conditionalFormatting xmlns:xm="http://schemas.microsoft.com/office/excel/2006/main">
          <x14:cfRule type="dataBar" id="{C6E4330D-57B8-4A5E-98F4-7B313C1BF812}">
            <x14:dataBar minLength="0" maxLength="100" border="1" negativeBarBorderColorSameAsPositive="0">
              <x14:cfvo type="num">
                <xm:f>0</xm:f>
              </x14:cfvo>
              <x14:cfvo type="num">
                <xm:f>1</xm:f>
              </x14:cfvo>
              <x14:borderColor rgb="FF63C384"/>
              <x14:negativeFillColor rgb="FFFF0000"/>
              <x14:negativeBorderColor rgb="FFFF0000"/>
              <x14:axisColor rgb="FF000000"/>
            </x14:dataBar>
          </x14:cfRule>
          <xm:sqref>J21:J70</xm:sqref>
        </x14:conditionalFormatting>
        <x14:conditionalFormatting xmlns:xm="http://schemas.microsoft.com/office/excel/2006/main">
          <x14:cfRule type="dataBar" id="{9EC6E7C3-2E2A-414A-BD40-14FB66752206}">
            <x14:dataBar minLength="0" maxLength="100" border="1" negativeBarBorderColorSameAsPositive="0">
              <x14:cfvo type="num">
                <xm:f>0</xm:f>
              </x14:cfvo>
              <x14:cfvo type="num">
                <xm:f>1</xm:f>
              </x14:cfvo>
              <x14:borderColor rgb="FF63C384"/>
              <x14:negativeFillColor rgb="FFFF0000"/>
              <x14:negativeBorderColor rgb="FFFF0000"/>
              <x14:axisColor rgb="FF000000"/>
            </x14:dataBar>
          </x14:cfRule>
          <xm:sqref>D10:D16</xm:sqref>
        </x14:conditionalFormatting>
        <x14:conditionalFormatting xmlns:xm="http://schemas.microsoft.com/office/excel/2006/main">
          <x14:cfRule type="dataBar" id="{E1DE5964-788E-4E23-805D-616E4613A173}">
            <x14:dataBar minLength="0" maxLength="100" border="1" negativeBarBorderColorSameAsPositive="0">
              <x14:cfvo type="num">
                <xm:f>0</xm:f>
              </x14:cfvo>
              <x14:cfvo type="num">
                <xm:f>1</xm:f>
              </x14:cfvo>
              <x14:borderColor rgb="FF63C384"/>
              <x14:negativeFillColor rgb="FFFF0000"/>
              <x14:negativeBorderColor rgb="FFFF0000"/>
              <x14:axisColor rgb="FF000000"/>
            </x14:dataBar>
          </x14:cfRule>
          <xm:sqref>E11:E16</xm:sqref>
        </x14:conditionalFormatting>
        <x14:conditionalFormatting xmlns:xm="http://schemas.microsoft.com/office/excel/2006/main">
          <x14:cfRule type="dataBar" id="{8C86E832-2660-459D-86C2-170E0C17C33F}">
            <x14:dataBar minLength="0" maxLength="100" border="1" negativeBarBorderColorSameAsPositive="0">
              <x14:cfvo type="num">
                <xm:f>0</xm:f>
              </x14:cfvo>
              <x14:cfvo type="num">
                <xm:f>1</xm:f>
              </x14:cfvo>
              <x14:borderColor rgb="FF63C384"/>
              <x14:negativeFillColor rgb="FFFF0000"/>
              <x14:negativeBorderColor rgb="FFFF0000"/>
              <x14:axisColor rgb="FF000000"/>
            </x14:dataBar>
          </x14:cfRule>
          <xm:sqref>F11:G16</xm:sqref>
        </x14:conditionalFormatting>
        <x14:conditionalFormatting xmlns:xm="http://schemas.microsoft.com/office/excel/2006/main">
          <x14:cfRule type="dataBar" id="{A3057B89-E208-4558-83CB-1A8B16AC6F42}">
            <x14:dataBar minLength="0" maxLength="100" border="1" negativeBarBorderColorSameAsPositive="0">
              <x14:cfvo type="num">
                <xm:f>0</xm:f>
              </x14:cfvo>
              <x14:cfvo type="num">
                <xm:f>1</xm:f>
              </x14:cfvo>
              <x14:borderColor rgb="FF63C384"/>
              <x14:negativeFillColor rgb="FFFF0000"/>
              <x14:negativeBorderColor rgb="FFFF0000"/>
              <x14:axisColor rgb="FF000000"/>
            </x14:dataBar>
          </x14:cfRule>
          <xm:sqref>V23:W25 V21:V22 V27:W29 V26 V31:W34 V30 V37:W41 V35:V36 V42:V44 V45:W70</xm:sqref>
        </x14:conditionalFormatting>
        <x14:conditionalFormatting xmlns:xm="http://schemas.microsoft.com/office/excel/2006/main">
          <x14:cfRule type="dataBar" id="{57662CA3-86F7-4D6C-9CD3-E6C2914D186B}">
            <x14:dataBar minLength="0" maxLength="100" border="1" negativeBarBorderColorSameAsPositive="0">
              <x14:cfvo type="autoMin"/>
              <x14:cfvo type="autoMax"/>
              <x14:borderColor rgb="FF638EC6"/>
              <x14:negativeFillColor rgb="FFFF0000"/>
              <x14:negativeBorderColor rgb="FFFF0000"/>
              <x14:axisColor rgb="FF000000"/>
            </x14:dataBar>
          </x14:cfRule>
          <xm:sqref>CL21:CL147</xm:sqref>
        </x14:conditionalFormatting>
        <x14:conditionalFormatting xmlns:xm="http://schemas.microsoft.com/office/excel/2006/main">
          <x14:cfRule type="dataBar" id="{2CA1CFAF-FD6F-4053-B9FD-C1A1656B08AE}">
            <x14:dataBar minLength="0" maxLength="100" border="1" negativeBarBorderColorSameAsPositive="0">
              <x14:cfvo type="num">
                <xm:f>0</xm:f>
              </x14:cfvo>
              <x14:cfvo type="num">
                <xm:f>1</xm:f>
              </x14:cfvo>
              <x14:borderColor rgb="FF63C384"/>
              <x14:negativeFillColor rgb="FFFF0000"/>
              <x14:negativeBorderColor rgb="FFFF0000"/>
              <x14:axisColor rgb="FF000000"/>
            </x14:dataBar>
          </x14:cfRule>
          <xm:sqref>AI21:AI147</xm:sqref>
        </x14:conditionalFormatting>
        <x14:conditionalFormatting xmlns:xm="http://schemas.microsoft.com/office/excel/2006/main">
          <x14:cfRule type="dataBar" id="{D2C7D4CA-6480-462A-B456-BDF29DA1DD89}">
            <x14:dataBar minLength="0" maxLength="100" border="1" negativeBarBorderColorSameAsPositive="0">
              <x14:cfvo type="num">
                <xm:f>0</xm:f>
              </x14:cfvo>
              <x14:cfvo type="num">
                <xm:f>1</xm:f>
              </x14:cfvo>
              <x14:borderColor rgb="FF63C384"/>
              <x14:negativeFillColor rgb="FFFF0000"/>
              <x14:negativeBorderColor rgb="FFFF0000"/>
              <x14:axisColor rgb="FF000000"/>
            </x14:dataBar>
          </x14:cfRule>
          <xm:sqref>AA22:AA70</xm:sqref>
        </x14:conditionalFormatting>
        <x14:conditionalFormatting xmlns:xm="http://schemas.microsoft.com/office/excel/2006/main">
          <x14:cfRule type="dataBar" id="{DF923910-CF35-491F-BEA5-751629A2FA1D}">
            <x14:dataBar minLength="0" maxLength="100" border="1" negativeBarBorderColorSameAsPositive="0">
              <x14:cfvo type="num">
                <xm:f>0</xm:f>
              </x14:cfvo>
              <x14:cfvo type="num">
                <xm:f>1</xm:f>
              </x14:cfvo>
              <x14:borderColor rgb="FF63C384"/>
              <x14:negativeFillColor rgb="FFFF0000"/>
              <x14:negativeBorderColor rgb="FFFF0000"/>
              <x14:axisColor rgb="FF000000"/>
            </x14:dataBar>
          </x14:cfRule>
          <xm:sqref>W42</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F73A3F75-FDA8-490E-8BF8-412618E44EFD}">
          <x14:formula1>
            <xm:f>Ships!$L$11:$L$18</xm:f>
          </x14:formula1>
          <xm:sqref>X15:Z15</xm:sqref>
        </x14:dataValidation>
        <x14:dataValidation type="list" allowBlank="1" showInputMessage="1" showErrorMessage="1" xr:uid="{15505234-7F82-4C0F-89B5-4A985E680B18}">
          <x14:formula1>
            <xm:f>Production!$B$11:$B$152</xm:f>
          </x14:formula1>
          <xm:sqref>AF21:AF147</xm:sqref>
        </x14:dataValidation>
        <x14:dataValidation type="list" allowBlank="1" showInputMessage="1" showErrorMessage="1" xr:uid="{6C9BCD13-6996-48F6-A1AF-35DCEE552E01}">
          <x14:formula1>
            <xm:f>Production!$AX$10:$AX$34</xm:f>
          </x14:formula1>
          <xm:sqref>E21:E70</xm:sqref>
        </x14:dataValidation>
        <x14:dataValidation type="list" allowBlank="1" showInputMessage="1" showErrorMessage="1" xr:uid="{EA9A8E68-6B4E-4FF2-AAEF-51FFF737C0F2}">
          <x14:formula1>
            <xm:f>Production!$AR$11:$AR$61</xm:f>
          </x14:formula1>
          <xm:sqref>G21:G70</xm:sqref>
        </x14:dataValidation>
        <x14:dataValidation type="list" allowBlank="1" showInputMessage="1" showErrorMessage="1" xr:uid="{E0422D41-C659-4134-ADDC-5B0BA9287BC6}">
          <x14:formula1>
            <xm:f>Production!$AU$11:$AU$16</xm:f>
          </x14:formula1>
          <xm:sqref>D21:D70 C11:C16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C8368-5B38-42ED-A28B-48A841BAFF6E}">
  <sheetPr>
    <tabColor rgb="FFFFC000"/>
  </sheetPr>
  <dimension ref="A1:AX152"/>
  <sheetViews>
    <sheetView showGridLines="0" zoomScale="85" zoomScaleNormal="85" workbookViewId="0">
      <pane xSplit="3" ySplit="10" topLeftCell="AD18" activePane="bottomRight" state="frozen"/>
      <selection pane="topRight" activeCell="D1" sqref="D1"/>
      <selection pane="bottomLeft" activeCell="A11" sqref="A11"/>
      <selection pane="bottomRight" activeCell="AE26" sqref="AE26"/>
    </sheetView>
  </sheetViews>
  <sheetFormatPr defaultRowHeight="14.25" x14ac:dyDescent="0.45"/>
  <cols>
    <col min="1" max="1" width="7.796875" customWidth="1"/>
    <col min="2" max="2" width="29.796875" bestFit="1" customWidth="1"/>
    <col min="3" max="3" width="14.33203125" bestFit="1" customWidth="1"/>
    <col min="4" max="4" width="15" bestFit="1" customWidth="1"/>
    <col min="5" max="5" width="11.73046875" bestFit="1" customWidth="1"/>
    <col min="6" max="6" width="12.59765625" customWidth="1"/>
    <col min="7" max="7" width="11.73046875" bestFit="1" customWidth="1"/>
    <col min="8" max="8" width="12.06640625" bestFit="1" customWidth="1"/>
    <col min="9" max="9" width="10.33203125" bestFit="1" customWidth="1"/>
    <col min="10" max="10" width="8.86328125" bestFit="1" customWidth="1"/>
    <col min="11" max="11" width="10.33203125" bestFit="1" customWidth="1"/>
    <col min="12" max="23" width="10.33203125" customWidth="1"/>
    <col min="26" max="26" width="10.796875" customWidth="1"/>
    <col min="27" max="27" width="14.59765625" bestFit="1" customWidth="1"/>
    <col min="29" max="29" width="10.59765625" bestFit="1" customWidth="1"/>
    <col min="30" max="30" width="16.46484375" customWidth="1"/>
    <col min="31" max="31" width="62.86328125" customWidth="1"/>
    <col min="32" max="35" width="6.33203125" customWidth="1"/>
    <col min="36" max="36" width="6.73046875" customWidth="1"/>
    <col min="37" max="37" width="32.19921875" bestFit="1" customWidth="1"/>
    <col min="38" max="38" width="14.86328125" bestFit="1" customWidth="1"/>
    <col min="39" max="39" width="9.9296875" bestFit="1" customWidth="1"/>
    <col min="40" max="40" width="9.9296875" customWidth="1"/>
    <col min="41" max="41" width="29.265625" bestFit="1" customWidth="1"/>
    <col min="42" max="43" width="29.265625" customWidth="1"/>
    <col min="44" max="44" width="53" bestFit="1" customWidth="1"/>
    <col min="45" max="45" width="17.9296875" bestFit="1" customWidth="1"/>
    <col min="46" max="46" width="6.59765625" customWidth="1"/>
    <col min="47" max="47" width="32.19921875" bestFit="1" customWidth="1"/>
    <col min="48" max="48" width="15.3984375" customWidth="1"/>
    <col min="49" max="49" width="29.73046875" bestFit="1" customWidth="1"/>
    <col min="50" max="50" width="28.86328125" customWidth="1"/>
    <col min="51" max="52" width="17.9296875" bestFit="1" customWidth="1"/>
    <col min="55" max="55" width="9.73046875" customWidth="1"/>
  </cols>
  <sheetData>
    <row r="1" spans="1:50" ht="23.25" x14ac:dyDescent="0.7">
      <c r="A1" s="1" t="s">
        <v>361</v>
      </c>
    </row>
    <row r="3" spans="1:50" ht="19.899999999999999" thickBot="1" x14ac:dyDescent="0.65">
      <c r="A3" s="6" t="s">
        <v>1</v>
      </c>
    </row>
    <row r="4" spans="1:50" ht="20.25" thickTop="1" thickBot="1" x14ac:dyDescent="0.65">
      <c r="A4" s="13" t="s">
        <v>588</v>
      </c>
      <c r="AJ4" s="6" t="s">
        <v>301</v>
      </c>
    </row>
    <row r="5" spans="1:50" ht="14.65" thickTop="1" x14ac:dyDescent="0.45">
      <c r="A5" s="116" t="s">
        <v>589</v>
      </c>
      <c r="AJ5" s="56" t="s">
        <v>307</v>
      </c>
    </row>
    <row r="6" spans="1:50" x14ac:dyDescent="0.45">
      <c r="AJ6" s="56" t="s">
        <v>323</v>
      </c>
    </row>
    <row r="7" spans="1:50" x14ac:dyDescent="0.45">
      <c r="A7" s="13" t="s">
        <v>769</v>
      </c>
    </row>
    <row r="8" spans="1:50" x14ac:dyDescent="0.45">
      <c r="A8" s="116" t="s">
        <v>770</v>
      </c>
      <c r="AT8" s="56" t="s">
        <v>309</v>
      </c>
      <c r="AX8" s="56" t="s">
        <v>325</v>
      </c>
    </row>
    <row r="9" spans="1:50" ht="168.75" x14ac:dyDescent="0.45">
      <c r="B9" s="17" t="s">
        <v>771</v>
      </c>
      <c r="C9" s="17" t="s">
        <v>281</v>
      </c>
      <c r="D9" s="17" t="s">
        <v>772</v>
      </c>
      <c r="E9" s="17" t="s">
        <v>282</v>
      </c>
      <c r="X9" s="17" t="s">
        <v>664</v>
      </c>
      <c r="Y9" s="17" t="s">
        <v>478</v>
      </c>
      <c r="Z9" s="89" t="s">
        <v>402</v>
      </c>
      <c r="AA9" s="17" t="s">
        <v>493</v>
      </c>
      <c r="AB9" s="17" t="s">
        <v>283</v>
      </c>
      <c r="AC9" s="17" t="s">
        <v>495</v>
      </c>
      <c r="AD9" s="17" t="s">
        <v>509</v>
      </c>
      <c r="AE9" s="17" t="s">
        <v>284</v>
      </c>
      <c r="AF9" s="17"/>
      <c r="AG9" s="17"/>
      <c r="AH9" s="17"/>
      <c r="AK9" s="17" t="s">
        <v>304</v>
      </c>
      <c r="AL9" s="17" t="s">
        <v>306</v>
      </c>
      <c r="AN9" s="17" t="s">
        <v>571</v>
      </c>
      <c r="AO9" s="17" t="s">
        <v>572</v>
      </c>
      <c r="AP9" s="17" t="s">
        <v>573</v>
      </c>
      <c r="AQ9" s="17" t="s">
        <v>576</v>
      </c>
      <c r="AR9" s="17" t="s">
        <v>310</v>
      </c>
      <c r="AU9" s="17" t="s">
        <v>304</v>
      </c>
      <c r="AV9" s="17" t="s">
        <v>305</v>
      </c>
      <c r="AX9" s="17" t="s">
        <v>306</v>
      </c>
    </row>
    <row r="10" spans="1:50" s="8" customFormat="1" ht="57" x14ac:dyDescent="0.45">
      <c r="A10" s="8" t="s">
        <v>238</v>
      </c>
      <c r="B10" s="8" t="s">
        <v>37</v>
      </c>
      <c r="C10" s="8" t="s">
        <v>38</v>
      </c>
      <c r="D10" s="8" t="s">
        <v>39</v>
      </c>
      <c r="E10" s="8" t="s">
        <v>41</v>
      </c>
      <c r="F10" s="8" t="s">
        <v>40</v>
      </c>
      <c r="G10" s="8" t="s">
        <v>42</v>
      </c>
      <c r="H10" s="8" t="s">
        <v>43</v>
      </c>
      <c r="I10" s="8" t="s">
        <v>44</v>
      </c>
      <c r="J10" s="8" t="s">
        <v>45</v>
      </c>
      <c r="K10" s="8" t="s">
        <v>46</v>
      </c>
      <c r="L10" s="8" t="s">
        <v>479</v>
      </c>
      <c r="M10" s="8" t="s">
        <v>480</v>
      </c>
      <c r="N10" s="8" t="s">
        <v>481</v>
      </c>
      <c r="O10" s="8" t="s">
        <v>482</v>
      </c>
      <c r="P10" s="8" t="s">
        <v>483</v>
      </c>
      <c r="Q10" s="8" t="s">
        <v>484</v>
      </c>
      <c r="R10" s="8" t="s">
        <v>485</v>
      </c>
      <c r="S10" s="8" t="s">
        <v>486</v>
      </c>
      <c r="T10" s="8" t="s">
        <v>487</v>
      </c>
      <c r="U10" s="8" t="s">
        <v>545</v>
      </c>
      <c r="V10" s="8" t="s">
        <v>488</v>
      </c>
      <c r="W10" s="8" t="s">
        <v>489</v>
      </c>
      <c r="X10" s="8" t="s">
        <v>362</v>
      </c>
      <c r="Y10" s="8" t="s">
        <v>477</v>
      </c>
      <c r="Z10" s="87" t="s">
        <v>363</v>
      </c>
      <c r="AA10" s="97" t="s">
        <v>47</v>
      </c>
      <c r="AB10" s="8" t="s">
        <v>48</v>
      </c>
      <c r="AC10" s="8" t="s">
        <v>274</v>
      </c>
      <c r="AD10" s="8" t="s">
        <v>275</v>
      </c>
      <c r="AE10" s="8" t="s">
        <v>54</v>
      </c>
      <c r="AJ10" t="s">
        <v>238</v>
      </c>
      <c r="AK10" t="s">
        <v>37</v>
      </c>
      <c r="AL10" s="54" t="s">
        <v>239</v>
      </c>
      <c r="AM10" s="54" t="s">
        <v>321</v>
      </c>
      <c r="AN10" s="54" t="s">
        <v>410</v>
      </c>
      <c r="AO10" s="54" t="s">
        <v>302</v>
      </c>
      <c r="AP10" s="54" t="s">
        <v>574</v>
      </c>
      <c r="AQ10" s="54" t="s">
        <v>575</v>
      </c>
      <c r="AR10" s="54" t="s">
        <v>308</v>
      </c>
      <c r="AT10" t="s">
        <v>238</v>
      </c>
      <c r="AU10" t="s">
        <v>37</v>
      </c>
      <c r="AV10" t="s">
        <v>303</v>
      </c>
      <c r="AX10" s="54" t="s">
        <v>239</v>
      </c>
    </row>
    <row r="11" spans="1:50" ht="28.5" x14ac:dyDescent="0.45">
      <c r="A11">
        <v>36</v>
      </c>
      <c r="B11" t="s">
        <v>400</v>
      </c>
      <c r="C11" t="s">
        <v>83</v>
      </c>
      <c r="D11" t="s">
        <v>51</v>
      </c>
      <c r="E11">
        <v>1</v>
      </c>
      <c r="F11" t="s">
        <v>86</v>
      </c>
      <c r="G11">
        <v>3000</v>
      </c>
      <c r="H11" t="s">
        <v>85</v>
      </c>
      <c r="I11">
        <v>600</v>
      </c>
      <c r="J11" t="s">
        <v>87</v>
      </c>
      <c r="K11">
        <v>200</v>
      </c>
      <c r="L11" t="s">
        <v>61</v>
      </c>
      <c r="M11">
        <v>20000</v>
      </c>
      <c r="X11" s="91">
        <f>MAX(3000/10,600/5,200/5)*4</f>
        <v>1200</v>
      </c>
      <c r="Y11" s="4">
        <v>1</v>
      </c>
      <c r="Z11" s="88"/>
      <c r="AA11" s="9">
        <f>IFERROR(60/Production[[#This Row],[Production in 1h]],0)</f>
        <v>1200</v>
      </c>
      <c r="AB11" s="95">
        <f>IFERROR(Production[[#This Row],[Qty Produced per Timer cycle]]*60/Production[[#This Row],[Timer]],0)</f>
        <v>0.05</v>
      </c>
      <c r="AC11" s="9">
        <f>IFERROR(IF(ISBLANK(Production[[#This Row],[Consumption Multiplier override]]),Production[[#This Row],[Production in 1h]]/Production[[#This Row],[Qty Produced per Timer cycle]],Production[[#This Row],[Consumption Multiplier override]]),0)</f>
        <v>0.05</v>
      </c>
      <c r="AD11" s="4"/>
      <c r="AE11" s="8" t="s">
        <v>494</v>
      </c>
      <c r="AF11" s="8"/>
      <c r="AG11" s="8"/>
      <c r="AH11" s="8"/>
      <c r="AJ11">
        <v>1</v>
      </c>
      <c r="AL11" s="54"/>
      <c r="AM11" s="54"/>
      <c r="AN11" s="22">
        <v>0</v>
      </c>
      <c r="AO11" s="110">
        <f>IF(ISBLANK(Consumption[[#This Row],[Building]]),0,Consumption[[#This Row],[Consumption per resident per second]]*3600)</f>
        <v>0</v>
      </c>
      <c r="AP11" s="93">
        <v>0</v>
      </c>
      <c r="AQ11" s="58">
        <f>IF(ISBLANK(Consumption[[#This Row],[Building]]),0,Consumption[[#This Row],[Production per resident per second]]*3600)</f>
        <v>0</v>
      </c>
      <c r="AR11" s="58" t="str">
        <f>Consumption[[#This Row],[Building]]&amp;" - "&amp;Consumption[[#This Row],[Resource]]</f>
        <v xml:space="preserve"> - </v>
      </c>
      <c r="AT11" s="52">
        <v>1</v>
      </c>
      <c r="AU11" t="s">
        <v>55</v>
      </c>
      <c r="AV11">
        <v>10</v>
      </c>
      <c r="AX11" s="54"/>
    </row>
    <row r="12" spans="1:50" ht="28.5" x14ac:dyDescent="0.45">
      <c r="A12">
        <v>37</v>
      </c>
      <c r="B12" t="s">
        <v>401</v>
      </c>
      <c r="C12" t="s">
        <v>84</v>
      </c>
      <c r="D12" t="s">
        <v>51</v>
      </c>
      <c r="E12">
        <v>1</v>
      </c>
      <c r="F12" t="s">
        <v>86</v>
      </c>
      <c r="G12">
        <v>3000</v>
      </c>
      <c r="H12" t="s">
        <v>85</v>
      </c>
      <c r="I12">
        <v>1800</v>
      </c>
      <c r="J12" t="s">
        <v>87</v>
      </c>
      <c r="K12">
        <v>200</v>
      </c>
      <c r="L12" t="s">
        <v>61</v>
      </c>
      <c r="M12">
        <v>30000</v>
      </c>
      <c r="X12" s="91">
        <f>MAX(3000/10,1800/5,200/5)*4</f>
        <v>1440</v>
      </c>
      <c r="Y12" s="4">
        <v>1</v>
      </c>
      <c r="Z12" s="88"/>
      <c r="AA12" s="9">
        <f>IFERROR(60/Production[[#This Row],[Production in 1h]],0)</f>
        <v>1440</v>
      </c>
      <c r="AB12" s="95">
        <f>IFERROR(Production[[#This Row],[Qty Produced per Timer cycle]]*60/Production[[#This Row],[Timer]],0)</f>
        <v>4.1666666666666664E-2</v>
      </c>
      <c r="AC12" s="9">
        <f>IFERROR(IF(ISBLANK(Production[[#This Row],[Consumption Multiplier override]]),Production[[#This Row],[Production in 1h]]/Production[[#This Row],[Qty Produced per Timer cycle]],Production[[#This Row],[Consumption Multiplier override]]),0)</f>
        <v>4.1666666666666664E-2</v>
      </c>
      <c r="AD12" s="4"/>
      <c r="AE12" s="8" t="s">
        <v>494</v>
      </c>
      <c r="AJ12" s="52">
        <v>2</v>
      </c>
      <c r="AK12" s="51" t="s">
        <v>55</v>
      </c>
      <c r="AL12" t="s">
        <v>330</v>
      </c>
      <c r="AM12" t="s">
        <v>322</v>
      </c>
      <c r="AN12" s="22">
        <v>0</v>
      </c>
      <c r="AO12" s="92">
        <v>0</v>
      </c>
      <c r="AP12" s="86">
        <v>0</v>
      </c>
      <c r="AQ12" s="20">
        <f>IF(ISBLANK(Consumption[[#This Row],[Building]]),0,Consumption[[#This Row],[Production per resident per second]]*3600)</f>
        <v>0</v>
      </c>
      <c r="AR12" s="20" t="str">
        <f>Consumption[[#This Row],[Building]]&amp;" - "&amp;Consumption[[#This Row],[Resource]]</f>
        <v>Pioneer's Hut - Water</v>
      </c>
      <c r="AT12" s="55">
        <v>2</v>
      </c>
      <c r="AU12" t="s">
        <v>403</v>
      </c>
      <c r="AV12">
        <v>10</v>
      </c>
      <c r="AX12" t="s">
        <v>330</v>
      </c>
    </row>
    <row r="13" spans="1:50" x14ac:dyDescent="0.45">
      <c r="A13">
        <v>116</v>
      </c>
      <c r="B13" t="s">
        <v>425</v>
      </c>
      <c r="C13" t="s">
        <v>375</v>
      </c>
      <c r="D13" t="s">
        <v>51</v>
      </c>
      <c r="E13">
        <v>1</v>
      </c>
      <c r="F13" t="s">
        <v>653</v>
      </c>
      <c r="G13">
        <v>8</v>
      </c>
      <c r="X13" s="4">
        <v>4</v>
      </c>
      <c r="Y13" s="4">
        <v>1</v>
      </c>
      <c r="Z13" s="88"/>
      <c r="AA13" s="9">
        <f>IFERROR(60/Production[[#This Row],[Production in 1h]],0)</f>
        <v>4</v>
      </c>
      <c r="AB13" s="9">
        <f>IFERROR(Production[[#This Row],[Qty Produced per Timer cycle]]*60/Production[[#This Row],[Timer]],0)</f>
        <v>15</v>
      </c>
      <c r="AC13" s="9">
        <f>IFERROR(IF(ISBLANK(Production[[#This Row],[Consumption Multiplier override]]),Production[[#This Row],[Production in 1h]]/Production[[#This Row],[Qty Produced per Timer cycle]],Production[[#This Row],[Consumption Multiplier override]]),0)</f>
        <v>1</v>
      </c>
      <c r="AD13" s="4">
        <v>1</v>
      </c>
      <c r="AE13" s="8"/>
      <c r="AJ13">
        <v>3</v>
      </c>
      <c r="AK13" s="51" t="s">
        <v>55</v>
      </c>
      <c r="AL13" t="s">
        <v>63</v>
      </c>
      <c r="AM13" t="s">
        <v>324</v>
      </c>
      <c r="AN13" s="22">
        <f>1/4800</f>
        <v>2.0833333333333335E-4</v>
      </c>
      <c r="AO13" s="92">
        <f>IF(ISBLANK(Consumption[[#This Row],[Building]]),0,(1/4800)*3600)</f>
        <v>0.75</v>
      </c>
      <c r="AP13" s="86">
        <f>1/24000</f>
        <v>4.1666666666666665E-5</v>
      </c>
      <c r="AQ13" s="20">
        <f>IF(ISBLANK(Consumption[[#This Row],[Building]]),0,Consumption[[#This Row],[Production per resident per second]]*3600)</f>
        <v>0.15</v>
      </c>
      <c r="AR13" s="20" t="str">
        <f>Consumption[[#This Row],[Building]]&amp;" - "&amp;Consumption[[#This Row],[Resource]]</f>
        <v>Pioneer's Hut - Fish</v>
      </c>
      <c r="AT13" s="52">
        <v>3</v>
      </c>
      <c r="AU13" t="s">
        <v>56</v>
      </c>
      <c r="AV13">
        <v>15</v>
      </c>
      <c r="AX13" t="s">
        <v>63</v>
      </c>
    </row>
    <row r="14" spans="1:50" x14ac:dyDescent="0.45">
      <c r="A14">
        <v>28</v>
      </c>
      <c r="B14" t="s">
        <v>75</v>
      </c>
      <c r="C14" t="s">
        <v>10</v>
      </c>
      <c r="D14" t="s">
        <v>51</v>
      </c>
      <c r="E14">
        <v>1</v>
      </c>
      <c r="F14" t="s">
        <v>61</v>
      </c>
      <c r="G14">
        <v>0</v>
      </c>
      <c r="H14" t="s">
        <v>74</v>
      </c>
      <c r="I14">
        <v>1</v>
      </c>
      <c r="J14" t="s">
        <v>9</v>
      </c>
      <c r="K14">
        <v>1</v>
      </c>
      <c r="X14" s="4">
        <v>10</v>
      </c>
      <c r="Y14" s="4">
        <v>1</v>
      </c>
      <c r="Z14" s="88"/>
      <c r="AA14" s="9">
        <f>IFERROR(60/Production[[#This Row],[Production in 1h]],0)</f>
        <v>10</v>
      </c>
      <c r="AB14" s="9">
        <f>IFERROR(Production[[#This Row],[Qty Produced per Timer cycle]]*60/Production[[#This Row],[Timer]],0)</f>
        <v>6</v>
      </c>
      <c r="AC14" s="9">
        <f>IFERROR(IF(ISBLANK(Production[[#This Row],[Consumption Multiplier override]]),Production[[#This Row],[Production in 1h]]/Production[[#This Row],[Qty Produced per Timer cycle]],Production[[#This Row],[Consumption Multiplier override]]),0)</f>
        <v>6</v>
      </c>
      <c r="AD14" s="4"/>
      <c r="AE14" s="8" t="s">
        <v>97</v>
      </c>
      <c r="AJ14" s="52">
        <v>4</v>
      </c>
      <c r="AK14" s="51" t="s">
        <v>55</v>
      </c>
      <c r="AL14" t="s">
        <v>66</v>
      </c>
      <c r="AM14" t="s">
        <v>324</v>
      </c>
      <c r="AN14" s="22">
        <f>1/7200</f>
        <v>1.3888888888888889E-4</v>
      </c>
      <c r="AO14" s="92">
        <f>IF(ISBLANK(Consumption[[#This Row],[Building]]),0,(1/7200)*3600)</f>
        <v>0.5</v>
      </c>
      <c r="AP14" s="22">
        <f>1/24000</f>
        <v>4.1666666666666665E-5</v>
      </c>
      <c r="AQ14" s="20">
        <f>IF(ISBLANK(Consumption[[#This Row],[Building]]),0,Consumption[[#This Row],[Production per resident per second]]*3600)</f>
        <v>0.15</v>
      </c>
      <c r="AR14" s="20" t="str">
        <f>Consumption[[#This Row],[Building]]&amp;" - "&amp;Consumption[[#This Row],[Resource]]</f>
        <v>Pioneer's Hut - Schnapps</v>
      </c>
      <c r="AT14" s="55">
        <v>4</v>
      </c>
      <c r="AU14" t="s">
        <v>57</v>
      </c>
      <c r="AV14">
        <v>20</v>
      </c>
      <c r="AX14" t="s">
        <v>66</v>
      </c>
    </row>
    <row r="15" spans="1:50" x14ac:dyDescent="0.45">
      <c r="A15">
        <v>122</v>
      </c>
      <c r="B15" t="s">
        <v>430</v>
      </c>
      <c r="C15" t="s">
        <v>386</v>
      </c>
      <c r="D15" t="s">
        <v>51</v>
      </c>
      <c r="E15">
        <f>3/3</f>
        <v>1</v>
      </c>
      <c r="F15" t="s">
        <v>110</v>
      </c>
      <c r="G15">
        <v>1</v>
      </c>
      <c r="H15" t="s">
        <v>87</v>
      </c>
      <c r="I15">
        <v>1</v>
      </c>
      <c r="K15" s="94"/>
      <c r="X15" s="4">
        <v>4</v>
      </c>
      <c r="Y15" s="4">
        <v>1</v>
      </c>
      <c r="Z15" s="88"/>
      <c r="AA15" s="9">
        <f>IFERROR(60/Production[[#This Row],[Production in 1h]],0)</f>
        <v>4</v>
      </c>
      <c r="AB15" s="9">
        <f>IFERROR(Production[[#This Row],[Qty Produced per Timer cycle]]*60/Production[[#This Row],[Timer]],0)</f>
        <v>15</v>
      </c>
      <c r="AC15" s="9">
        <f>IFERROR(IF(ISBLANK(Production[[#This Row],[Consumption Multiplier override]]),Production[[#This Row],[Production in 1h]]/Production[[#This Row],[Qty Produced per Timer cycle]],Production[[#This Row],[Consumption Multiplier override]]),0)</f>
        <v>15</v>
      </c>
      <c r="AD15" s="4"/>
      <c r="AE15" s="8" t="s">
        <v>893</v>
      </c>
      <c r="AJ15">
        <v>5</v>
      </c>
      <c r="AK15" s="55" t="s">
        <v>403</v>
      </c>
      <c r="AL15" t="s">
        <v>330</v>
      </c>
      <c r="AM15" t="s">
        <v>322</v>
      </c>
      <c r="AN15" s="22">
        <v>0</v>
      </c>
      <c r="AO15" s="110">
        <v>0</v>
      </c>
      <c r="AP15" s="86">
        <v>0</v>
      </c>
      <c r="AQ15" s="58">
        <f>IF(ISBLANK(Consumption[[#This Row],[Building]]),0,Consumption[[#This Row],[Production per resident per second]]*3600)</f>
        <v>0</v>
      </c>
      <c r="AR15" s="58" t="str">
        <f>Consumption[[#This Row],[Building]]&amp;" - "&amp;Consumption[[#This Row],[Resource]]</f>
        <v>Pioneer's Hut (only consuming fish) - Water</v>
      </c>
      <c r="AT15" s="52">
        <v>5</v>
      </c>
      <c r="AU15" t="s">
        <v>58</v>
      </c>
      <c r="AV15">
        <v>25</v>
      </c>
      <c r="AX15" t="s">
        <v>72</v>
      </c>
    </row>
    <row r="16" spans="1:50" x14ac:dyDescent="0.45">
      <c r="A16">
        <v>52</v>
      </c>
      <c r="B16" t="s">
        <v>107</v>
      </c>
      <c r="C16" t="s">
        <v>108</v>
      </c>
      <c r="D16" t="s">
        <v>51</v>
      </c>
      <c r="E16">
        <v>1</v>
      </c>
      <c r="F16" t="s">
        <v>105</v>
      </c>
      <c r="G16">
        <v>1</v>
      </c>
      <c r="X16" s="4">
        <v>4</v>
      </c>
      <c r="Y16" s="4">
        <v>1</v>
      </c>
      <c r="Z16" s="88"/>
      <c r="AA16" s="9">
        <f>IFERROR(60/Production[[#This Row],[Production in 1h]],0)</f>
        <v>4</v>
      </c>
      <c r="AB16" s="9">
        <f>IFERROR(Production[[#This Row],[Qty Produced per Timer cycle]]*60/Production[[#This Row],[Timer]],0)</f>
        <v>15</v>
      </c>
      <c r="AC16" s="9">
        <f>IFERROR(IF(ISBLANK(Production[[#This Row],[Consumption Multiplier override]]),Production[[#This Row],[Production in 1h]]/Production[[#This Row],[Qty Produced per Timer cycle]],Production[[#This Row],[Consumption Multiplier override]]),0)</f>
        <v>15</v>
      </c>
      <c r="AD16" s="4"/>
      <c r="AE16" s="8" t="s">
        <v>109</v>
      </c>
      <c r="AJ16" s="52">
        <v>6</v>
      </c>
      <c r="AK16" s="55" t="s">
        <v>403</v>
      </c>
      <c r="AL16" t="s">
        <v>63</v>
      </c>
      <c r="AM16" t="s">
        <v>324</v>
      </c>
      <c r="AN16" s="22">
        <f>1/4800</f>
        <v>2.0833333333333335E-4</v>
      </c>
      <c r="AO16" s="92">
        <f>IF(ISBLANK(Consumption[[#This Row],[Building]]),0,(1/4800)*3600)</f>
        <v>0.75</v>
      </c>
      <c r="AP16" s="86">
        <f>1/24000</f>
        <v>4.1666666666666665E-5</v>
      </c>
      <c r="AQ16" s="20">
        <f>IF(ISBLANK(Consumption[[#This Row],[Building]]),0,Consumption[[#This Row],[Production per resident per second]]*3600)</f>
        <v>0.15</v>
      </c>
      <c r="AR16" s="58" t="str">
        <f>Consumption[[#This Row],[Building]]&amp;" - "&amp;Consumption[[#This Row],[Resource]]</f>
        <v>Pioneer's Hut (only consuming fish) - Fish</v>
      </c>
      <c r="AT16" s="55">
        <v>6</v>
      </c>
      <c r="AU16" t="s">
        <v>59</v>
      </c>
      <c r="AV16">
        <v>30</v>
      </c>
      <c r="AX16" t="s">
        <v>331</v>
      </c>
    </row>
    <row r="17" spans="1:50" x14ac:dyDescent="0.45">
      <c r="A17">
        <v>42</v>
      </c>
      <c r="B17" t="s">
        <v>98</v>
      </c>
      <c r="C17" t="s">
        <v>393</v>
      </c>
      <c r="D17" t="s">
        <v>51</v>
      </c>
      <c r="E17">
        <v>1</v>
      </c>
      <c r="F17" t="s">
        <v>61</v>
      </c>
      <c r="G17">
        <v>1</v>
      </c>
      <c r="H17" t="s">
        <v>95</v>
      </c>
      <c r="I17">
        <v>1</v>
      </c>
      <c r="J17" t="s">
        <v>9</v>
      </c>
      <c r="K17">
        <v>1</v>
      </c>
      <c r="X17" s="4">
        <v>10</v>
      </c>
      <c r="Y17" s="4">
        <v>1</v>
      </c>
      <c r="Z17" s="88"/>
      <c r="AA17" s="9">
        <f>IFERROR(60/Production[[#This Row],[Production in 1h]],0)</f>
        <v>10</v>
      </c>
      <c r="AB17" s="9">
        <f>IFERROR(Production[[#This Row],[Qty Produced per Timer cycle]]*60/Production[[#This Row],[Timer]],0)</f>
        <v>6</v>
      </c>
      <c r="AC17" s="9">
        <f>IFERROR(IF(ISBLANK(Production[[#This Row],[Consumption Multiplier override]]),Production[[#This Row],[Production in 1h]]/Production[[#This Row],[Qty Produced per Timer cycle]],Production[[#This Row],[Consumption Multiplier override]]),0)</f>
        <v>6</v>
      </c>
      <c r="AD17" s="4"/>
      <c r="AE17" s="8" t="s">
        <v>129</v>
      </c>
      <c r="AJ17">
        <v>7</v>
      </c>
      <c r="AK17" s="55" t="s">
        <v>403</v>
      </c>
      <c r="AL17" t="s">
        <v>66</v>
      </c>
      <c r="AM17" t="s">
        <v>324</v>
      </c>
      <c r="AN17" s="22">
        <v>0</v>
      </c>
      <c r="AO17" s="110">
        <v>0</v>
      </c>
      <c r="AP17" s="22">
        <v>0</v>
      </c>
      <c r="AQ17" s="58">
        <f>IF(ISBLANK(Consumption[[#This Row],[Building]]),0,Consumption[[#This Row],[Production per resident per second]]*3600)</f>
        <v>0</v>
      </c>
      <c r="AR17" s="58" t="str">
        <f>Consumption[[#This Row],[Building]]&amp;" - "&amp;Consumption[[#This Row],[Resource]]</f>
        <v>Pioneer's Hut (only consuming fish) - Schnapps</v>
      </c>
      <c r="AX17" t="s">
        <v>367</v>
      </c>
    </row>
    <row r="18" spans="1:50" x14ac:dyDescent="0.45">
      <c r="A18">
        <v>99</v>
      </c>
      <c r="B18" t="s">
        <v>336</v>
      </c>
      <c r="C18" t="s">
        <v>337</v>
      </c>
      <c r="D18" t="s">
        <v>51</v>
      </c>
      <c r="E18">
        <v>1</v>
      </c>
      <c r="X18" s="4">
        <v>60</v>
      </c>
      <c r="Y18" s="4">
        <v>1</v>
      </c>
      <c r="Z18" s="88"/>
      <c r="AA18" s="9">
        <f>IFERROR(60/Production[[#This Row],[Production in 1h]],0)</f>
        <v>60</v>
      </c>
      <c r="AB18" s="9">
        <f>IFERROR(Production[[#This Row],[Qty Produced per Timer cycle]]*60/Production[[#This Row],[Timer]],0)</f>
        <v>1</v>
      </c>
      <c r="AC18" s="9">
        <f>IFERROR(IF(ISBLANK(Production[[#This Row],[Consumption Multiplier override]]),Production[[#This Row],[Production in 1h]]/Production[[#This Row],[Qty Produced per Timer cycle]],Production[[#This Row],[Consumption Multiplier override]]),0)</f>
        <v>1</v>
      </c>
      <c r="AD18" s="4">
        <v>1</v>
      </c>
      <c r="AE18" s="8" t="s">
        <v>347</v>
      </c>
      <c r="AJ18" s="52">
        <v>8</v>
      </c>
      <c r="AK18" s="53" t="s">
        <v>56</v>
      </c>
      <c r="AL18" t="s">
        <v>330</v>
      </c>
      <c r="AM18" t="s">
        <v>322</v>
      </c>
      <c r="AN18" s="22">
        <v>0</v>
      </c>
      <c r="AO18" s="92">
        <v>0</v>
      </c>
      <c r="AP18" s="22">
        <v>0</v>
      </c>
      <c r="AQ18" s="20">
        <f>IF(ISBLANK(Consumption[[#This Row],[Building]]),0,Consumption[[#This Row],[Production per resident per second]]*3600)</f>
        <v>0</v>
      </c>
      <c r="AR18" s="20" t="str">
        <f>Consumption[[#This Row],[Building]]&amp;" - "&amp;Consumption[[#This Row],[Resource]]</f>
        <v>Colonist's House - Water</v>
      </c>
      <c r="AX18" t="s">
        <v>108</v>
      </c>
    </row>
    <row r="19" spans="1:50" ht="28.5" x14ac:dyDescent="0.45">
      <c r="A19">
        <v>100</v>
      </c>
      <c r="B19" t="s">
        <v>546</v>
      </c>
      <c r="C19" t="s">
        <v>330</v>
      </c>
      <c r="D19" t="s">
        <v>51</v>
      </c>
      <c r="E19">
        <v>0</v>
      </c>
      <c r="G19" s="8"/>
      <c r="X19" s="4">
        <v>60</v>
      </c>
      <c r="Y19" s="4">
        <v>1</v>
      </c>
      <c r="Z19" s="88"/>
      <c r="AA19" s="9">
        <f>IFERROR(60/Production[[#This Row],[Production in 1h]],0)</f>
        <v>60</v>
      </c>
      <c r="AB19" s="9">
        <f>IFERROR(Production[[#This Row],[Qty Produced per Timer cycle]]*60/Production[[#This Row],[Timer]],0)</f>
        <v>1</v>
      </c>
      <c r="AC19" s="9">
        <f>IFERROR(IF(ISBLANK(Production[[#This Row],[Consumption Multiplier override]]),Production[[#This Row],[Production in 1h]]/Production[[#This Row],[Qty Produced per Timer cycle]],Production[[#This Row],[Consumption Multiplier override]]),0)</f>
        <v>1</v>
      </c>
      <c r="AD19" s="4">
        <v>1</v>
      </c>
      <c r="AE19" s="8" t="s">
        <v>547</v>
      </c>
      <c r="AJ19">
        <v>9</v>
      </c>
      <c r="AK19" s="53" t="s">
        <v>56</v>
      </c>
      <c r="AL19" t="s">
        <v>63</v>
      </c>
      <c r="AM19" t="s">
        <v>322</v>
      </c>
      <c r="AN19" s="22">
        <f>1/2400</f>
        <v>4.1666666666666669E-4</v>
      </c>
      <c r="AO19" s="92">
        <f>IF(ISBLANK(Consumption[[#This Row],[Building]]),0,(2/4800)*3600)</f>
        <v>1.5</v>
      </c>
      <c r="AP19" s="22">
        <v>0</v>
      </c>
      <c r="AQ19" s="20">
        <f>IF(ISBLANK(Consumption[[#This Row],[Building]]),0,Consumption[[#This Row],[Production per resident per second]]*3600)</f>
        <v>0</v>
      </c>
      <c r="AR19" s="20" t="str">
        <f>Consumption[[#This Row],[Building]]&amp;" - "&amp;Consumption[[#This Row],[Resource]]</f>
        <v>Colonist's House - Fish</v>
      </c>
      <c r="AX19" t="s">
        <v>116</v>
      </c>
    </row>
    <row r="20" spans="1:50" x14ac:dyDescent="0.45">
      <c r="A20">
        <v>113</v>
      </c>
      <c r="B20" t="s">
        <v>873</v>
      </c>
      <c r="C20" t="s">
        <v>375</v>
      </c>
      <c r="D20" t="s">
        <v>51</v>
      </c>
      <c r="E20" s="96">
        <v>1</v>
      </c>
      <c r="G20" s="8"/>
      <c r="X20" s="4">
        <v>32</v>
      </c>
      <c r="Y20" s="4">
        <v>1</v>
      </c>
      <c r="Z20" s="88"/>
      <c r="AA20" s="9">
        <f>IFERROR(60/Production[[#This Row],[Production in 1h]],0)</f>
        <v>32</v>
      </c>
      <c r="AB20" s="9">
        <f>IFERROR(Production[[#This Row],[Qty Produced per Timer cycle]]*60/Production[[#This Row],[Timer]],0)</f>
        <v>1.875</v>
      </c>
      <c r="AC20" s="9">
        <f>IFERROR(IF(ISBLANK(Production[[#This Row],[Consumption Multiplier override]]),Production[[#This Row],[Production in 1h]]/Production[[#This Row],[Qty Produced per Timer cycle]],Production[[#This Row],[Consumption Multiplier override]]),0)</f>
        <v>1</v>
      </c>
      <c r="AD20" s="4">
        <v>1</v>
      </c>
      <c r="AE20" s="87"/>
      <c r="AJ20" s="52">
        <v>10</v>
      </c>
      <c r="AK20" s="53" t="s">
        <v>56</v>
      </c>
      <c r="AL20" t="s">
        <v>66</v>
      </c>
      <c r="AM20" t="s">
        <v>322</v>
      </c>
      <c r="AN20" s="22">
        <f>1/2700</f>
        <v>3.7037037037037035E-4</v>
      </c>
      <c r="AO20" s="92">
        <f>IF(ISBLANK(Consumption[[#This Row],[Building]]),0,(1/2700)*3600)</f>
        <v>1.3333333333333333</v>
      </c>
      <c r="AP20" s="22">
        <v>0</v>
      </c>
      <c r="AQ20" s="20">
        <f>IF(ISBLANK(Consumption[[#This Row],[Building]]),0,Consumption[[#This Row],[Production per resident per second]]*3600)</f>
        <v>0</v>
      </c>
      <c r="AR20" s="20" t="str">
        <f>Consumption[[#This Row],[Building]]&amp;" - "&amp;Consumption[[#This Row],[Resource]]</f>
        <v>Colonist's House - Schnapps</v>
      </c>
      <c r="AX20" t="s">
        <v>332</v>
      </c>
    </row>
    <row r="21" spans="1:50" x14ac:dyDescent="0.45">
      <c r="A21">
        <v>114</v>
      </c>
      <c r="B21" t="s">
        <v>653</v>
      </c>
      <c r="C21" t="s">
        <v>653</v>
      </c>
      <c r="D21" t="s">
        <v>51</v>
      </c>
      <c r="E21" s="96">
        <v>1</v>
      </c>
      <c r="G21" s="8"/>
      <c r="X21" s="4">
        <v>60</v>
      </c>
      <c r="Y21" s="4">
        <v>1</v>
      </c>
      <c r="Z21" s="88"/>
      <c r="AA21" s="9">
        <f>IFERROR(60/Production[[#This Row],[Production in 1h]],0)</f>
        <v>60</v>
      </c>
      <c r="AB21" s="9">
        <f>IFERROR(Production[[#This Row],[Qty Produced per Timer cycle]]*60/Production[[#This Row],[Timer]],0)</f>
        <v>1</v>
      </c>
      <c r="AC21" s="9">
        <f>IFERROR(IF(ISBLANK(Production[[#This Row],[Consumption Multiplier override]]),Production[[#This Row],[Production in 1h]]/Production[[#This Row],[Qty Produced per Timer cycle]],Production[[#This Row],[Consumption Multiplier override]]),0)</f>
        <v>1</v>
      </c>
      <c r="AD21" s="4">
        <v>1</v>
      </c>
      <c r="AE21" s="87"/>
      <c r="AJ21">
        <v>11</v>
      </c>
      <c r="AK21" s="53" t="s">
        <v>56</v>
      </c>
      <c r="AL21" t="s">
        <v>72</v>
      </c>
      <c r="AM21" t="s">
        <v>324</v>
      </c>
      <c r="AN21" s="22">
        <f>1/10800</f>
        <v>9.2592592592592588E-5</v>
      </c>
      <c r="AO21" s="92">
        <f>IF(ISBLANK(Consumption[[#This Row],[Building]]),0,(1/9000)*3600)</f>
        <v>0.4</v>
      </c>
      <c r="AP21" s="22">
        <f>1/48000</f>
        <v>2.0833333333333333E-5</v>
      </c>
      <c r="AQ21" s="20">
        <f>IF(ISBLANK(Consumption[[#This Row],[Building]]),0,Consumption[[#This Row],[Production per resident per second]]*3600)</f>
        <v>7.4999999999999997E-2</v>
      </c>
      <c r="AR21" s="60" t="str">
        <f>Consumption[[#This Row],[Building]]&amp;" - "&amp;Consumption[[#This Row],[Resource]]</f>
        <v>Colonist's House - Linen</v>
      </c>
      <c r="AX21" t="s">
        <v>137</v>
      </c>
    </row>
    <row r="22" spans="1:50" x14ac:dyDescent="0.45">
      <c r="A22">
        <v>133</v>
      </c>
      <c r="B22" t="s">
        <v>440</v>
      </c>
      <c r="C22" t="s">
        <v>384</v>
      </c>
      <c r="D22" t="s">
        <v>51</v>
      </c>
      <c r="E22">
        <v>1</v>
      </c>
      <c r="F22" t="s">
        <v>383</v>
      </c>
      <c r="G22">
        <v>4</v>
      </c>
      <c r="H22" t="s">
        <v>371</v>
      </c>
      <c r="I22">
        <v>2</v>
      </c>
      <c r="X22" s="4">
        <v>8</v>
      </c>
      <c r="Y22" s="4">
        <v>1</v>
      </c>
      <c r="Z22" s="88"/>
      <c r="AA22" s="9">
        <f>IFERROR(60/Production[[#This Row],[Production in 1h]],0)</f>
        <v>8</v>
      </c>
      <c r="AB22" s="9">
        <f>IFERROR(Production[[#This Row],[Qty Produced per Timer cycle]]*60/Production[[#This Row],[Timer]],0)</f>
        <v>7.5</v>
      </c>
      <c r="AC22" s="9">
        <f>IFERROR(IF(ISBLANK(Production[[#This Row],[Consumption Multiplier override]]),Production[[#This Row],[Production in 1h]]/Production[[#This Row],[Qty Produced per Timer cycle]],Production[[#This Row],[Consumption Multiplier override]]),0)</f>
        <v>7.5</v>
      </c>
      <c r="AD22" s="4"/>
      <c r="AE22" s="8" t="s">
        <v>456</v>
      </c>
      <c r="AJ22" s="52">
        <v>12</v>
      </c>
      <c r="AK22" s="53" t="s">
        <v>56</v>
      </c>
      <c r="AL22" t="s">
        <v>331</v>
      </c>
      <c r="AM22" t="s">
        <v>324</v>
      </c>
      <c r="AN22" s="22">
        <v>0</v>
      </c>
      <c r="AO22" s="110">
        <v>0</v>
      </c>
      <c r="AP22" s="22">
        <f>1/96000</f>
        <v>1.0416666666666666E-5</v>
      </c>
      <c r="AQ22" s="58">
        <f>IF(ISBLANK(Consumption[[#This Row],[Building]]),0,Consumption[[#This Row],[Production per resident per second]]*3600)</f>
        <v>3.7499999999999999E-2</v>
      </c>
      <c r="AR22" s="60" t="str">
        <f>Consumption[[#This Row],[Building]]&amp;" - "&amp;Consumption[[#This Row],[Resource]]</f>
        <v>Colonist's House - Community</v>
      </c>
      <c r="AX22" t="s">
        <v>146</v>
      </c>
    </row>
    <row r="23" spans="1:50" x14ac:dyDescent="0.45">
      <c r="A23">
        <v>27</v>
      </c>
      <c r="B23" t="s">
        <v>73</v>
      </c>
      <c r="C23" t="s">
        <v>74</v>
      </c>
      <c r="D23" t="s">
        <v>51</v>
      </c>
      <c r="E23">
        <v>1</v>
      </c>
      <c r="F23" t="s">
        <v>69</v>
      </c>
      <c r="G23">
        <v>1</v>
      </c>
      <c r="H23" t="s">
        <v>49</v>
      </c>
      <c r="I23">
        <v>5</v>
      </c>
      <c r="X23" s="4">
        <v>2</v>
      </c>
      <c r="Y23" s="4">
        <v>1</v>
      </c>
      <c r="Z23" s="88"/>
      <c r="AA23" s="9">
        <f>IFERROR(60/Production[[#This Row],[Production in 1h]],0)</f>
        <v>2</v>
      </c>
      <c r="AB23" s="9">
        <f>IFERROR(Production[[#This Row],[Qty Produced per Timer cycle]]*60/Production[[#This Row],[Timer]],0)</f>
        <v>30</v>
      </c>
      <c r="AC23" s="9">
        <f>IFERROR(IF(ISBLANK(Production[[#This Row],[Consumption Multiplier override]]),Production[[#This Row],[Production in 1h]]/Production[[#This Row],[Qty Produced per Timer cycle]],Production[[#This Row],[Consumption Multiplier override]]),0)</f>
        <v>30</v>
      </c>
      <c r="AD23" s="4"/>
      <c r="AE23" s="8" t="s">
        <v>128</v>
      </c>
      <c r="AJ23">
        <v>13</v>
      </c>
      <c r="AK23" s="55" t="s">
        <v>57</v>
      </c>
      <c r="AL23" t="s">
        <v>330</v>
      </c>
      <c r="AM23" t="s">
        <v>322</v>
      </c>
      <c r="AN23" s="22">
        <v>0</v>
      </c>
      <c r="AO23" s="110">
        <v>0</v>
      </c>
      <c r="AP23" s="22">
        <v>0</v>
      </c>
      <c r="AQ23" s="58">
        <f>IF(ISBLANK(Consumption[[#This Row],[Building]]),0,Consumption[[#This Row],[Production per resident per second]]*3600)</f>
        <v>0</v>
      </c>
      <c r="AR23" s="59" t="str">
        <f>Consumption[[#This Row],[Building]]&amp;" - "&amp;Consumption[[#This Row],[Resource]]</f>
        <v>Townsmen's House - Water</v>
      </c>
      <c r="AX23" t="s">
        <v>167</v>
      </c>
    </row>
    <row r="24" spans="1:50" x14ac:dyDescent="0.45">
      <c r="A24">
        <v>76</v>
      </c>
      <c r="B24" t="s">
        <v>145</v>
      </c>
      <c r="C24" t="s">
        <v>146</v>
      </c>
      <c r="D24" t="s">
        <v>51</v>
      </c>
      <c r="E24">
        <v>1</v>
      </c>
      <c r="F24" t="s">
        <v>140</v>
      </c>
      <c r="G24">
        <v>3</v>
      </c>
      <c r="H24" t="s">
        <v>143</v>
      </c>
      <c r="I24">
        <v>1</v>
      </c>
      <c r="X24" s="4">
        <v>4</v>
      </c>
      <c r="Y24" s="4">
        <v>2</v>
      </c>
      <c r="Z24" s="88"/>
      <c r="AA24" s="9">
        <f>IFERROR(60/Production[[#This Row],[Production in 1h]],0)</f>
        <v>2</v>
      </c>
      <c r="AB24" s="9">
        <f>IFERROR(Production[[#This Row],[Qty Produced per Timer cycle]]*60/Production[[#This Row],[Timer]],0)</f>
        <v>30</v>
      </c>
      <c r="AC24" s="9">
        <f>IFERROR(IF(ISBLANK(Production[[#This Row],[Consumption Multiplier override]]),Production[[#This Row],[Production in 1h]]/Production[[#This Row],[Qty Produced per Timer cycle]],Production[[#This Row],[Consumption Multiplier override]]),0)</f>
        <v>15</v>
      </c>
      <c r="AD24" s="4"/>
      <c r="AE24" s="8" t="s">
        <v>147</v>
      </c>
      <c r="AJ24" s="52">
        <v>14</v>
      </c>
      <c r="AK24" s="55" t="s">
        <v>57</v>
      </c>
      <c r="AL24" s="55" t="s">
        <v>331</v>
      </c>
      <c r="AM24" t="s">
        <v>322</v>
      </c>
      <c r="AN24" s="22">
        <v>0</v>
      </c>
      <c r="AO24" s="110">
        <v>0</v>
      </c>
      <c r="AP24" s="22">
        <v>0</v>
      </c>
      <c r="AQ24" s="58">
        <f>IF(ISBLANK(Consumption[[#This Row],[Building]]),0,Consumption[[#This Row],[Production per resident per second]]*3600)</f>
        <v>0</v>
      </c>
      <c r="AR24" s="60" t="str">
        <f>Consumption[[#This Row],[Building]]&amp;" - "&amp;Consumption[[#This Row],[Resource]]</f>
        <v>Townsmen's House - Community</v>
      </c>
      <c r="AX24" t="s">
        <v>173</v>
      </c>
    </row>
    <row r="25" spans="1:50" x14ac:dyDescent="0.45">
      <c r="A25">
        <v>63</v>
      </c>
      <c r="B25" t="s">
        <v>122</v>
      </c>
      <c r="C25" t="s">
        <v>123</v>
      </c>
      <c r="D25" t="s">
        <v>51</v>
      </c>
      <c r="E25">
        <v>1</v>
      </c>
      <c r="F25" t="s">
        <v>120</v>
      </c>
      <c r="G25">
        <v>1</v>
      </c>
      <c r="H25" t="s">
        <v>124</v>
      </c>
      <c r="I25">
        <v>1</v>
      </c>
      <c r="X25" s="4">
        <v>4</v>
      </c>
      <c r="Y25" s="4">
        <v>1</v>
      </c>
      <c r="Z25" s="88"/>
      <c r="AA25" s="9">
        <f>IFERROR(60/Production[[#This Row],[Production in 1h]],0)</f>
        <v>4</v>
      </c>
      <c r="AB25" s="9">
        <f>IFERROR(Production[[#This Row],[Qty Produced per Timer cycle]]*60/Production[[#This Row],[Timer]],0)</f>
        <v>15</v>
      </c>
      <c r="AC25" s="9">
        <f>IFERROR(IF(ISBLANK(Production[[#This Row],[Consumption Multiplier override]]),Production[[#This Row],[Production in 1h]]/Production[[#This Row],[Qty Produced per Timer cycle]],Production[[#This Row],[Consumption Multiplier override]]),0)</f>
        <v>15</v>
      </c>
      <c r="AD25" s="4"/>
      <c r="AE25" s="8" t="s">
        <v>860</v>
      </c>
      <c r="AJ25">
        <v>15</v>
      </c>
      <c r="AK25" s="55" t="s">
        <v>57</v>
      </c>
      <c r="AL25" t="s">
        <v>63</v>
      </c>
      <c r="AM25" t="s">
        <v>322</v>
      </c>
      <c r="AN25" s="22">
        <f>1/2400</f>
        <v>4.1666666666666669E-4</v>
      </c>
      <c r="AO25" s="92">
        <f>IF(ISBLANK(Consumption[[#This Row],[Building]]),0,(2/4800)*3600)</f>
        <v>1.5</v>
      </c>
      <c r="AP25" s="22">
        <v>0</v>
      </c>
      <c r="AQ25" s="20">
        <f>IF(ISBLANK(Consumption[[#This Row],[Building]]),0,Consumption[[#This Row],[Production per resident per second]]*3600)</f>
        <v>0</v>
      </c>
      <c r="AR25" s="59" t="str">
        <f>Consumption[[#This Row],[Building]]&amp;" - "&amp;Consumption[[#This Row],[Resource]]</f>
        <v>Townsmen's House - Fish</v>
      </c>
      <c r="AX25" t="s">
        <v>152</v>
      </c>
    </row>
    <row r="26" spans="1:50" x14ac:dyDescent="0.45">
      <c r="A26">
        <v>91</v>
      </c>
      <c r="B26" t="s">
        <v>166</v>
      </c>
      <c r="C26" t="s">
        <v>167</v>
      </c>
      <c r="D26" t="s">
        <v>51</v>
      </c>
      <c r="E26">
        <v>1</v>
      </c>
      <c r="F26" t="s">
        <v>165</v>
      </c>
      <c r="G26">
        <v>1</v>
      </c>
      <c r="H26" t="s">
        <v>162</v>
      </c>
      <c r="I26">
        <v>2</v>
      </c>
      <c r="X26" s="4">
        <v>4</v>
      </c>
      <c r="Y26" s="4">
        <v>4</v>
      </c>
      <c r="Z26" s="88"/>
      <c r="AA26" s="9">
        <f>IFERROR(60/Production[[#This Row],[Production in 1h]],0)</f>
        <v>1</v>
      </c>
      <c r="AB26" s="9">
        <f>IFERROR(Production[[#This Row],[Qty Produced per Timer cycle]]*60/Production[[#This Row],[Timer]],0)</f>
        <v>60</v>
      </c>
      <c r="AC26" s="9">
        <f>IFERROR(IF(ISBLANK(Production[[#This Row],[Consumption Multiplier override]]),Production[[#This Row],[Production in 1h]]/Production[[#This Row],[Qty Produced per Timer cycle]],Production[[#This Row],[Consumption Multiplier override]]),0)</f>
        <v>15</v>
      </c>
      <c r="AD26" s="4"/>
      <c r="AE26" s="8" t="s">
        <v>970</v>
      </c>
      <c r="AJ26" s="52">
        <v>16</v>
      </c>
      <c r="AK26" s="55" t="s">
        <v>57</v>
      </c>
      <c r="AL26" s="55" t="s">
        <v>66</v>
      </c>
      <c r="AM26" t="s">
        <v>322</v>
      </c>
      <c r="AN26" s="22">
        <f>1/2400</f>
        <v>4.1666666666666669E-4</v>
      </c>
      <c r="AO26" s="92">
        <f>IF(ISBLANK(Consumption[[#This Row],[Building]]),0,(2/4800)*3600)</f>
        <v>1.5</v>
      </c>
      <c r="AP26" s="22">
        <v>0</v>
      </c>
      <c r="AQ26" s="20">
        <f>IF(ISBLANK(Consumption[[#This Row],[Building]]),0,Consumption[[#This Row],[Production per resident per second]]*3600)</f>
        <v>0</v>
      </c>
      <c r="AR26" s="60" t="str">
        <f>Consumption[[#This Row],[Building]]&amp;" - "&amp;Consumption[[#This Row],[Resource]]</f>
        <v>Townsmen's House - Schnapps</v>
      </c>
      <c r="AX26" t="s">
        <v>337</v>
      </c>
    </row>
    <row r="27" spans="1:50" x14ac:dyDescent="0.45">
      <c r="A27">
        <v>136</v>
      </c>
      <c r="B27" t="s">
        <v>443</v>
      </c>
      <c r="C27" t="s">
        <v>389</v>
      </c>
      <c r="D27" t="s">
        <v>51</v>
      </c>
      <c r="E27">
        <v>1</v>
      </c>
      <c r="F27" t="s">
        <v>87</v>
      </c>
      <c r="G27">
        <v>1</v>
      </c>
      <c r="H27" t="s">
        <v>388</v>
      </c>
      <c r="I27">
        <v>1</v>
      </c>
      <c r="X27" s="4">
        <v>8</v>
      </c>
      <c r="Y27" s="4">
        <v>1</v>
      </c>
      <c r="Z27" s="88"/>
      <c r="AA27" s="9">
        <f>IFERROR(60/Production[[#This Row],[Production in 1h]],0)</f>
        <v>8</v>
      </c>
      <c r="AB27" s="9">
        <f>IFERROR(Production[[#This Row],[Qty Produced per Timer cycle]]*60/Production[[#This Row],[Timer]],0)</f>
        <v>7.5</v>
      </c>
      <c r="AC27" s="9">
        <f>IFERROR(IF(ISBLANK(Production[[#This Row],[Consumption Multiplier override]]),Production[[#This Row],[Production in 1h]]/Production[[#This Row],[Qty Produced per Timer cycle]],Production[[#This Row],[Consumption Multiplier override]]),0)</f>
        <v>7.5</v>
      </c>
      <c r="AD27" s="4"/>
      <c r="AE27" s="8" t="s">
        <v>458</v>
      </c>
      <c r="AJ27">
        <v>17</v>
      </c>
      <c r="AK27" s="55" t="s">
        <v>57</v>
      </c>
      <c r="AL27" s="55" t="s">
        <v>72</v>
      </c>
      <c r="AM27" t="s">
        <v>322</v>
      </c>
      <c r="AN27" s="22">
        <f>1/9600</f>
        <v>1.0416666666666667E-4</v>
      </c>
      <c r="AO27" s="92">
        <f>IF(ISBLANK(Consumption[[#This Row],[Building]]),0,(1/9600)*3600)</f>
        <v>0.375</v>
      </c>
      <c r="AP27" s="22">
        <v>0</v>
      </c>
      <c r="AQ27" s="20">
        <f>IF(ISBLANK(Consumption[[#This Row],[Building]]),0,Consumption[[#This Row],[Production per resident per second]]*3600)</f>
        <v>0</v>
      </c>
      <c r="AR27" s="59" t="str">
        <f>Consumption[[#This Row],[Building]]&amp;" - "&amp;Consumption[[#This Row],[Resource]]</f>
        <v>Townsmen's House - Linen</v>
      </c>
      <c r="AX27" t="s">
        <v>372</v>
      </c>
    </row>
    <row r="28" spans="1:50" x14ac:dyDescent="0.45">
      <c r="A28">
        <v>137</v>
      </c>
      <c r="B28" t="s">
        <v>659</v>
      </c>
      <c r="C28" t="s">
        <v>19</v>
      </c>
      <c r="D28" t="s">
        <v>51</v>
      </c>
      <c r="E28">
        <v>1</v>
      </c>
      <c r="F28" t="s">
        <v>61</v>
      </c>
      <c r="G28">
        <v>5</v>
      </c>
      <c r="H28" t="s">
        <v>389</v>
      </c>
      <c r="I28">
        <v>1</v>
      </c>
      <c r="J28" t="s">
        <v>9</v>
      </c>
      <c r="K28">
        <v>1</v>
      </c>
      <c r="X28" s="4">
        <v>10</v>
      </c>
      <c r="Y28" s="4">
        <v>1</v>
      </c>
      <c r="Z28" s="88"/>
      <c r="AA28" s="9">
        <f>IFERROR(60/Production[[#This Row],[Production in 1h]],0)</f>
        <v>10</v>
      </c>
      <c r="AB28" s="9">
        <f>IFERROR(Production[[#This Row],[Qty Produced per Timer cycle]]*60/Production[[#This Row],[Timer]],0)</f>
        <v>6</v>
      </c>
      <c r="AC28" s="9">
        <f>IFERROR(IF(ISBLANK(Production[[#This Row],[Consumption Multiplier override]]),Production[[#This Row],[Production in 1h]]/Production[[#This Row],[Qty Produced per Timer cycle]],Production[[#This Row],[Consumption Multiplier override]]),0)</f>
        <v>6</v>
      </c>
      <c r="AD28" s="4"/>
      <c r="AE28" s="8" t="s">
        <v>459</v>
      </c>
      <c r="AJ28" s="52">
        <v>18</v>
      </c>
      <c r="AK28" s="55" t="s">
        <v>57</v>
      </c>
      <c r="AL28" s="55" t="s">
        <v>367</v>
      </c>
      <c r="AM28" t="s">
        <v>324</v>
      </c>
      <c r="AN28" s="22">
        <f>1/14400</f>
        <v>6.9444444444444444E-5</v>
      </c>
      <c r="AO28" s="92">
        <f>IF(ISBLANK(Consumption[[#This Row],[Building]]),0,(1/16000)*3600)</f>
        <v>0.22500000000000001</v>
      </c>
      <c r="AP28" s="22">
        <f>1/27000</f>
        <v>3.7037037037037037E-5</v>
      </c>
      <c r="AQ28" s="20">
        <f>IF(ISBLANK(Consumption[[#This Row],[Building]]),0,Consumption[[#This Row],[Production per resident per second]]*3600)</f>
        <v>0.13333333333333333</v>
      </c>
      <c r="AR28" s="58" t="str">
        <f>Consumption[[#This Row],[Building]]&amp;" - "&amp;Consumption[[#This Row],[Resource]]</f>
        <v>Townsmen's House - Fabric</v>
      </c>
      <c r="AX28" t="s">
        <v>374</v>
      </c>
    </row>
    <row r="29" spans="1:50" ht="28.5" x14ac:dyDescent="0.45">
      <c r="A29">
        <v>86</v>
      </c>
      <c r="B29" t="s">
        <v>515</v>
      </c>
      <c r="C29" t="s">
        <v>515</v>
      </c>
      <c r="D29" t="s">
        <v>51</v>
      </c>
      <c r="E29" s="96">
        <v>1</v>
      </c>
      <c r="G29" s="8"/>
      <c r="X29" s="4">
        <v>60</v>
      </c>
      <c r="Y29" s="4">
        <v>1</v>
      </c>
      <c r="Z29" s="88"/>
      <c r="AA29" s="9">
        <f>IFERROR(60/Production[[#This Row],[Production in 1h]],0)</f>
        <v>60</v>
      </c>
      <c r="AB29" s="9">
        <f>IFERROR(Production[[#This Row],[Qty Produced per Timer cycle]]*60/Production[[#This Row],[Timer]],0)</f>
        <v>1</v>
      </c>
      <c r="AC29" s="9">
        <f>IFERROR(IF(ISBLANK(Production[[#This Row],[Consumption Multiplier override]]),Production[[#This Row],[Production in 1h]]/Production[[#This Row],[Qty Produced per Timer cycle]],Production[[#This Row],[Consumption Multiplier override]]),0)</f>
        <v>1</v>
      </c>
      <c r="AD29" s="4">
        <v>1</v>
      </c>
      <c r="AE29" s="87" t="s">
        <v>646</v>
      </c>
      <c r="AJ29">
        <v>19</v>
      </c>
      <c r="AK29" s="55" t="s">
        <v>57</v>
      </c>
      <c r="AL29" s="55" t="s">
        <v>108</v>
      </c>
      <c r="AM29" t="s">
        <v>324</v>
      </c>
      <c r="AN29" s="22">
        <f>1/15000</f>
        <v>6.666666666666667E-5</v>
      </c>
      <c r="AO29" s="92">
        <f>IF(ISBLANK(Consumption[[#This Row],[Building]]),0,(1/16000)*3600)</f>
        <v>0.22500000000000001</v>
      </c>
      <c r="AP29" s="22">
        <f t="shared" ref="AP29:AP30" si="0">1/27000</f>
        <v>3.7037037037037037E-5</v>
      </c>
      <c r="AQ29" s="20">
        <f>IF(ISBLANK(Consumption[[#This Row],[Building]]),0,Consumption[[#This Row],[Production per resident per second]]*3600)</f>
        <v>0.13333333333333333</v>
      </c>
      <c r="AR29" s="58" t="str">
        <f>Consumption[[#This Row],[Building]]&amp;" - "&amp;Consumption[[#This Row],[Resource]]</f>
        <v>Townsmen's House - Bread</v>
      </c>
      <c r="AX29" t="s">
        <v>660</v>
      </c>
    </row>
    <row r="30" spans="1:50" x14ac:dyDescent="0.45">
      <c r="A30">
        <v>87</v>
      </c>
      <c r="B30" t="s">
        <v>415</v>
      </c>
      <c r="C30" t="s">
        <v>162</v>
      </c>
      <c r="D30" t="s">
        <v>51</v>
      </c>
      <c r="E30">
        <v>1</v>
      </c>
      <c r="F30" t="s">
        <v>515</v>
      </c>
      <c r="G30">
        <v>8</v>
      </c>
      <c r="X30" s="4">
        <v>4</v>
      </c>
      <c r="Y30" s="4">
        <v>1</v>
      </c>
      <c r="Z30" s="88"/>
      <c r="AA30" s="9">
        <f>IFERROR(60/Production[[#This Row],[Production in 1h]],0)</f>
        <v>4</v>
      </c>
      <c r="AB30" s="9">
        <f>IFERROR(Production[[#This Row],[Qty Produced per Timer cycle]]*60/Production[[#This Row],[Timer]],0)</f>
        <v>15</v>
      </c>
      <c r="AC30" s="9">
        <f>IFERROR(IF(ISBLANK(Production[[#This Row],[Consumption Multiplier override]]),Production[[#This Row],[Production in 1h]]/Production[[#This Row],[Qty Produced per Timer cycle]],Production[[#This Row],[Consumption Multiplier override]]),0)</f>
        <v>1</v>
      </c>
      <c r="AD30" s="4">
        <v>1</v>
      </c>
      <c r="AE30" s="8"/>
      <c r="AJ30" s="52">
        <v>20</v>
      </c>
      <c r="AK30" s="55" t="s">
        <v>57</v>
      </c>
      <c r="AL30" s="55" t="s">
        <v>116</v>
      </c>
      <c r="AM30" t="s">
        <v>324</v>
      </c>
      <c r="AN30" s="22">
        <f>1/22500</f>
        <v>4.4444444444444447E-5</v>
      </c>
      <c r="AO30" s="92">
        <f>IF(ISBLANK(Consumption[[#This Row],[Building]]),0,(1/24000)*3600)</f>
        <v>0.15</v>
      </c>
      <c r="AP30" s="22">
        <f t="shared" si="0"/>
        <v>3.7037037037037037E-5</v>
      </c>
      <c r="AQ30" s="20">
        <f>IF(ISBLANK(Consumption[[#This Row],[Building]]),0,Consumption[[#This Row],[Production per resident per second]]*3600)</f>
        <v>0.13333333333333333</v>
      </c>
      <c r="AR30" s="58" t="str">
        <f>Consumption[[#This Row],[Building]]&amp;" - "&amp;Consumption[[#This Row],[Resource]]</f>
        <v>Townsmen's House - Cigar</v>
      </c>
      <c r="AX30" t="s">
        <v>379</v>
      </c>
    </row>
    <row r="31" spans="1:50" x14ac:dyDescent="0.45">
      <c r="A31">
        <v>118</v>
      </c>
      <c r="B31" t="s">
        <v>426</v>
      </c>
      <c r="C31" t="s">
        <v>376</v>
      </c>
      <c r="D31" t="s">
        <v>51</v>
      </c>
      <c r="E31">
        <v>1</v>
      </c>
      <c r="F31" t="s">
        <v>69</v>
      </c>
      <c r="G31">
        <v>1</v>
      </c>
      <c r="H31" t="s">
        <v>375</v>
      </c>
      <c r="I31">
        <v>2</v>
      </c>
      <c r="X31" s="4">
        <v>4</v>
      </c>
      <c r="Y31" s="4">
        <v>2</v>
      </c>
      <c r="Z31" s="88"/>
      <c r="AA31" s="9">
        <f>IFERROR(60/Production[[#This Row],[Production in 1h]],0)</f>
        <v>2</v>
      </c>
      <c r="AB31" s="9">
        <f>IFERROR(Production[[#This Row],[Qty Produced per Timer cycle]]*60/Production[[#This Row],[Timer]],0)</f>
        <v>30</v>
      </c>
      <c r="AC31" s="9">
        <f>IFERROR(IF(ISBLANK(Production[[#This Row],[Consumption Multiplier override]]),Production[[#This Row],[Production in 1h]]/Production[[#This Row],[Qty Produced per Timer cycle]],Production[[#This Row],[Consumption Multiplier override]]),0)</f>
        <v>15</v>
      </c>
      <c r="AD31" s="4"/>
      <c r="AE31" s="8" t="s">
        <v>448</v>
      </c>
      <c r="AJ31">
        <v>21</v>
      </c>
      <c r="AK31" s="55" t="s">
        <v>57</v>
      </c>
      <c r="AL31" s="55" t="s">
        <v>332</v>
      </c>
      <c r="AM31" t="s">
        <v>324</v>
      </c>
      <c r="AN31" s="22">
        <v>0</v>
      </c>
      <c r="AO31" s="110">
        <v>0</v>
      </c>
      <c r="AP31" s="22">
        <f>1/36000</f>
        <v>2.7777777777777779E-5</v>
      </c>
      <c r="AQ31" s="58">
        <f>IF(ISBLANK(Consumption[[#This Row],[Building]]),0,Consumption[[#This Row],[Production per resident per second]]*3600)</f>
        <v>0.1</v>
      </c>
      <c r="AR31" s="58" t="str">
        <f>Consumption[[#This Row],[Building]]&amp;" - "&amp;Consumption[[#This Row],[Resource]]</f>
        <v>Townsmen's House - Education</v>
      </c>
      <c r="AX31" t="s">
        <v>382</v>
      </c>
    </row>
    <row r="32" spans="1:50" x14ac:dyDescent="0.45">
      <c r="A32">
        <v>61</v>
      </c>
      <c r="B32" t="s">
        <v>858</v>
      </c>
      <c r="C32" t="s">
        <v>120</v>
      </c>
      <c r="D32" t="s">
        <v>51</v>
      </c>
      <c r="E32">
        <v>1</v>
      </c>
      <c r="F32" t="s">
        <v>49</v>
      </c>
      <c r="G32">
        <v>20</v>
      </c>
      <c r="X32" s="4">
        <v>4</v>
      </c>
      <c r="Y32" s="4">
        <v>1</v>
      </c>
      <c r="Z32" s="88"/>
      <c r="AA32" s="9">
        <f>IFERROR(60/Production[[#This Row],[Production in 1h]],0)</f>
        <v>4</v>
      </c>
      <c r="AB32" s="9">
        <f>IFERROR(Production[[#This Row],[Qty Produced per Timer cycle]]*60/Production[[#This Row],[Timer]],0)</f>
        <v>15</v>
      </c>
      <c r="AC32" s="9">
        <f>IFERROR(IF(ISBLANK(Production[[#This Row],[Consumption Multiplier override]]),Production[[#This Row],[Production in 1h]]/Production[[#This Row],[Qty Produced per Timer cycle]],Production[[#This Row],[Consumption Multiplier override]]),0)</f>
        <v>15</v>
      </c>
      <c r="AD32" s="4"/>
      <c r="AE32" s="8" t="s">
        <v>121</v>
      </c>
      <c r="AJ32" s="52">
        <v>22</v>
      </c>
      <c r="AK32" s="55" t="s">
        <v>58</v>
      </c>
      <c r="AL32" s="55" t="s">
        <v>330</v>
      </c>
      <c r="AM32" t="s">
        <v>322</v>
      </c>
      <c r="AN32" s="22">
        <v>0</v>
      </c>
      <c r="AO32" s="110">
        <v>0</v>
      </c>
      <c r="AP32" s="22">
        <v>0</v>
      </c>
      <c r="AQ32" s="58">
        <f>IF(ISBLANK(Consumption[[#This Row],[Building]]),0,Consumption[[#This Row],[Production per resident per second]]*3600)</f>
        <v>0</v>
      </c>
      <c r="AR32" s="58" t="str">
        <f>Consumption[[#This Row],[Building]]&amp;" - "&amp;Consumption[[#This Row],[Resource]]</f>
        <v>Merchant's Mansion - Water</v>
      </c>
      <c r="AX32" t="s">
        <v>465</v>
      </c>
    </row>
    <row r="33" spans="1:50" x14ac:dyDescent="0.45">
      <c r="A33">
        <v>59</v>
      </c>
      <c r="B33" t="s">
        <v>115</v>
      </c>
      <c r="C33" t="s">
        <v>116</v>
      </c>
      <c r="D33" t="s">
        <v>51</v>
      </c>
      <c r="E33">
        <v>1</v>
      </c>
      <c r="F33" t="s">
        <v>113</v>
      </c>
      <c r="G33">
        <v>2</v>
      </c>
      <c r="X33" s="4">
        <v>2</v>
      </c>
      <c r="Y33" s="4">
        <v>1</v>
      </c>
      <c r="Z33" s="88"/>
      <c r="AA33" s="9">
        <f>IFERROR(60/Production[[#This Row],[Production in 1h]],0)</f>
        <v>2</v>
      </c>
      <c r="AB33" s="9">
        <f>IFERROR(Production[[#This Row],[Qty Produced per Timer cycle]]*60/Production[[#This Row],[Timer]],0)</f>
        <v>30</v>
      </c>
      <c r="AC33" s="9">
        <f>IFERROR(IF(ISBLANK(Production[[#This Row],[Consumption Multiplier override]]),Production[[#This Row],[Production in 1h]]/Production[[#This Row],[Qty Produced per Timer cycle]],Production[[#This Row],[Consumption Multiplier override]]),0)</f>
        <v>30</v>
      </c>
      <c r="AD33" s="4"/>
      <c r="AE33" s="8" t="s">
        <v>117</v>
      </c>
      <c r="AJ33">
        <v>23</v>
      </c>
      <c r="AK33" s="55" t="s">
        <v>58</v>
      </c>
      <c r="AL33" s="55" t="s">
        <v>331</v>
      </c>
      <c r="AM33" t="s">
        <v>322</v>
      </c>
      <c r="AN33" s="22">
        <v>0</v>
      </c>
      <c r="AO33" s="110">
        <v>0</v>
      </c>
      <c r="AP33" s="22">
        <v>0</v>
      </c>
      <c r="AQ33" s="58">
        <f>IF(ISBLANK(Consumption[[#This Row],[Building]]),0,Consumption[[#This Row],[Production per resident per second]]*3600)</f>
        <v>0</v>
      </c>
      <c r="AR33" s="58" t="str">
        <f>Consumption[[#This Row],[Building]]&amp;" - "&amp;Consumption[[#This Row],[Resource]]</f>
        <v>Merchant's Mansion - Community</v>
      </c>
      <c r="AX33" t="s">
        <v>652</v>
      </c>
    </row>
    <row r="34" spans="1:50" x14ac:dyDescent="0.45">
      <c r="A34">
        <v>62</v>
      </c>
      <c r="B34" t="s">
        <v>125</v>
      </c>
      <c r="C34" t="s">
        <v>124</v>
      </c>
      <c r="D34" t="s">
        <v>51</v>
      </c>
      <c r="E34">
        <v>1</v>
      </c>
      <c r="X34" s="4">
        <v>2</v>
      </c>
      <c r="Y34" s="4">
        <v>1</v>
      </c>
      <c r="Z34" s="88" t="s">
        <v>124</v>
      </c>
      <c r="AA34" s="9">
        <f>IFERROR(60/Production[[#This Row],[Production in 1h]],0)</f>
        <v>2</v>
      </c>
      <c r="AB34" s="9">
        <f>IFERROR(Production[[#This Row],[Qty Produced per Timer cycle]]*60/Production[[#This Row],[Timer]],0)</f>
        <v>30</v>
      </c>
      <c r="AC34" s="9">
        <f>IFERROR(IF(ISBLANK(Production[[#This Row],[Consumption Multiplier override]]),Production[[#This Row],[Production in 1h]]/Production[[#This Row],[Qty Produced per Timer cycle]],Production[[#This Row],[Consumption Multiplier override]]),0)</f>
        <v>30</v>
      </c>
      <c r="AD34" s="4"/>
      <c r="AE34" s="8"/>
      <c r="AJ34" s="52">
        <v>24</v>
      </c>
      <c r="AK34" s="55" t="s">
        <v>58</v>
      </c>
      <c r="AL34" t="s">
        <v>332</v>
      </c>
      <c r="AM34" t="s">
        <v>322</v>
      </c>
      <c r="AN34" s="22">
        <v>0</v>
      </c>
      <c r="AO34" s="110">
        <v>0</v>
      </c>
      <c r="AP34" s="22">
        <v>0</v>
      </c>
      <c r="AQ34" s="58">
        <f>IF(ISBLANK(Consumption[[#This Row],[Building]]),0,Consumption[[#This Row],[Production per resident per second]]*3600)</f>
        <v>0</v>
      </c>
      <c r="AR34" s="58" t="str">
        <f>Consumption[[#This Row],[Building]]&amp;" - "&amp;Consumption[[#This Row],[Resource]]</f>
        <v>Merchant's Mansion - Education</v>
      </c>
      <c r="AX34" t="s">
        <v>464</v>
      </c>
    </row>
    <row r="35" spans="1:50" ht="28.5" x14ac:dyDescent="0.45">
      <c r="A35">
        <v>71</v>
      </c>
      <c r="B35" t="s">
        <v>138</v>
      </c>
      <c r="C35" t="s">
        <v>120</v>
      </c>
      <c r="D35" t="s">
        <v>53</v>
      </c>
      <c r="E35">
        <v>1</v>
      </c>
      <c r="X35" s="4">
        <v>2</v>
      </c>
      <c r="Y35" s="4">
        <v>1</v>
      </c>
      <c r="Z35" s="88" t="s">
        <v>120</v>
      </c>
      <c r="AA35" s="9">
        <f>IFERROR(60/Production[[#This Row],[Production in 1h]],0)</f>
        <v>2</v>
      </c>
      <c r="AB35" s="9">
        <f>IFERROR(Production[[#This Row],[Qty Produced per Timer cycle]]*60/Production[[#This Row],[Timer]],0)</f>
        <v>30</v>
      </c>
      <c r="AC35" s="9">
        <f>IFERROR(IF(ISBLANK(Production[[#This Row],[Consumption Multiplier override]]),Production[[#This Row],[Production in 1h]]/Production[[#This Row],[Qty Produced per Timer cycle]],Production[[#This Row],[Consumption Multiplier override]]),0)</f>
        <v>1</v>
      </c>
      <c r="AD35" s="4">
        <v>1</v>
      </c>
      <c r="AE35" s="8" t="s">
        <v>892</v>
      </c>
      <c r="AJ35">
        <v>25</v>
      </c>
      <c r="AK35" s="55" t="s">
        <v>58</v>
      </c>
      <c r="AL35" s="55" t="s">
        <v>63</v>
      </c>
      <c r="AM35" t="s">
        <v>322</v>
      </c>
      <c r="AN35" s="22">
        <f>1/2400</f>
        <v>4.1666666666666669E-4</v>
      </c>
      <c r="AO35" s="92">
        <f>IF(ISBLANK(Consumption[[#This Row],[Building]]),0,(2/4800)*3600)</f>
        <v>1.5</v>
      </c>
      <c r="AP35" s="22">
        <v>0</v>
      </c>
      <c r="AQ35" s="20">
        <f>IF(ISBLANK(Consumption[[#This Row],[Building]]),0,Consumption[[#This Row],[Production per resident per second]]*3600)</f>
        <v>0</v>
      </c>
      <c r="AR35" s="58" t="str">
        <f>Consumption[[#This Row],[Building]]&amp;" - "&amp;Consumption[[#This Row],[Resource]]</f>
        <v>Merchant's Mansion - Fish</v>
      </c>
    </row>
    <row r="36" spans="1:50" x14ac:dyDescent="0.45">
      <c r="A36">
        <v>120</v>
      </c>
      <c r="B36" t="s">
        <v>428</v>
      </c>
      <c r="C36" t="s">
        <v>385</v>
      </c>
      <c r="D36" t="s">
        <v>51</v>
      </c>
      <c r="E36">
        <f>3/3</f>
        <v>1</v>
      </c>
      <c r="F36" t="s">
        <v>120</v>
      </c>
      <c r="G36">
        <v>2</v>
      </c>
      <c r="X36" s="4">
        <v>4</v>
      </c>
      <c r="Y36" s="4">
        <v>1</v>
      </c>
      <c r="Z36" s="88"/>
      <c r="AA36" s="9">
        <f>IFERROR(60/Production[[#This Row],[Production in 1h]],0)</f>
        <v>4</v>
      </c>
      <c r="AB36" s="9">
        <f>IFERROR(Production[[#This Row],[Qty Produced per Timer cycle]]*60/Production[[#This Row],[Timer]],0)</f>
        <v>15</v>
      </c>
      <c r="AC36" s="9">
        <f>IFERROR(IF(ISBLANK(Production[[#This Row],[Consumption Multiplier override]]),Production[[#This Row],[Production in 1h]]/Production[[#This Row],[Qty Produced per Timer cycle]],Production[[#This Row],[Consumption Multiplier override]]),0)</f>
        <v>15</v>
      </c>
      <c r="AD36" s="4"/>
      <c r="AE36" s="8" t="s">
        <v>888</v>
      </c>
      <c r="AJ36" s="52">
        <v>26</v>
      </c>
      <c r="AK36" s="55" t="s">
        <v>58</v>
      </c>
      <c r="AL36" s="55" t="s">
        <v>66</v>
      </c>
      <c r="AM36" t="s">
        <v>322</v>
      </c>
      <c r="AN36" s="22">
        <f>1/2400</f>
        <v>4.1666666666666669E-4</v>
      </c>
      <c r="AO36" s="92">
        <f>IF(ISBLANK(Consumption[[#This Row],[Building]]),0,(2/4800)*3600)</f>
        <v>1.5</v>
      </c>
      <c r="AP36" s="22">
        <v>0</v>
      </c>
      <c r="AQ36" s="20">
        <f>IF(ISBLANK(Consumption[[#This Row],[Building]]),0,Consumption[[#This Row],[Production per resident per second]]*3600)</f>
        <v>0</v>
      </c>
      <c r="AR36" s="58" t="str">
        <f>Consumption[[#This Row],[Building]]&amp;" - "&amp;Consumption[[#This Row],[Resource]]</f>
        <v>Merchant's Mansion - Schnapps</v>
      </c>
    </row>
    <row r="37" spans="1:50" ht="28.5" x14ac:dyDescent="0.45">
      <c r="A37">
        <v>6</v>
      </c>
      <c r="B37" s="8" t="s">
        <v>56</v>
      </c>
      <c r="C37" s="8" t="s">
        <v>61</v>
      </c>
      <c r="D37" s="8" t="s">
        <v>51</v>
      </c>
      <c r="E37" s="8">
        <v>1</v>
      </c>
      <c r="F37" s="8" t="s">
        <v>63</v>
      </c>
      <c r="G37" s="108">
        <f>INDEX(ResidentBuildings[Residents],MATCH(Production[[#This Row],[Building]],ResidentBuildings[Building],0))*INDEX(Consumption[Consumption/person/h],MATCH(Production[[#This Row],[Building]]&amp;" - "&amp;F37,Consumption[LookupValue],0))</f>
        <v>22.5</v>
      </c>
      <c r="H37" s="8" t="s">
        <v>66</v>
      </c>
      <c r="I37" s="108">
        <f>INDEX(ResidentBuildings[Residents],MATCH(Production[[#This Row],[Building]],ResidentBuildings[Building],0))*INDEX(Consumption[Consumption/person/h],MATCH(Production[[#This Row],[Building]]&amp;" - "&amp;H37,Consumption[LookupValue],0))</f>
        <v>20</v>
      </c>
      <c r="J37" s="8" t="s">
        <v>72</v>
      </c>
      <c r="K37" s="108">
        <f>INDEX(ResidentBuildings[Residents],MATCH(Production[[#This Row],[Building]],ResidentBuildings[Building],0))*INDEX(Consumption[Consumption/person/h],MATCH(Production[[#This Row],[Building]]&amp;" - "&amp;J37,Consumption[LookupValue],0))</f>
        <v>6</v>
      </c>
      <c r="L37" s="8"/>
      <c r="M37" s="8"/>
      <c r="N37" s="8"/>
      <c r="O37" s="8"/>
      <c r="P37" s="8"/>
      <c r="Q37" s="8"/>
      <c r="R37" s="8"/>
      <c r="S37" s="8"/>
      <c r="T37" s="8"/>
      <c r="U37" s="8"/>
      <c r="V37" s="8"/>
      <c r="W37" s="8"/>
      <c r="X37" s="4">
        <v>60</v>
      </c>
      <c r="Y37" s="108">
        <v>1.6875</v>
      </c>
      <c r="Z37" s="88"/>
      <c r="AA37" s="9">
        <f>IFERROR(60/Production[[#This Row],[Production in 1h]],0)</f>
        <v>35.555555555555557</v>
      </c>
      <c r="AB37" s="9">
        <f>IFERROR(Production[[#This Row],[Qty Produced per Timer cycle]]*60/Production[[#This Row],[Timer]],0)</f>
        <v>1.6875</v>
      </c>
      <c r="AC37" s="9">
        <f>IFERROR(IF(ISBLANK(Production[[#This Row],[Consumption Multiplier override]]),Production[[#This Row],[Production in 1h]]/Production[[#This Row],[Qty Produced per Timer cycle]],Production[[#This Row],[Consumption Multiplier override]]),0)</f>
        <v>1</v>
      </c>
      <c r="AD37" s="9">
        <v>1</v>
      </c>
      <c r="AE37" s="8" t="s">
        <v>497</v>
      </c>
      <c r="AJ37">
        <v>27</v>
      </c>
      <c r="AK37" s="55" t="s">
        <v>58</v>
      </c>
      <c r="AL37" t="s">
        <v>116</v>
      </c>
      <c r="AM37" t="s">
        <v>322</v>
      </c>
      <c r="AN37" s="22">
        <f>1/22500</f>
        <v>4.4444444444444447E-5</v>
      </c>
      <c r="AO37" s="92">
        <f>IF(ISBLANK(Consumption[[#This Row],[Building]]),0,(1/24000)*3600)</f>
        <v>0.15</v>
      </c>
      <c r="AP37" s="22">
        <v>0</v>
      </c>
      <c r="AQ37" s="20">
        <f>IF(ISBLANK(Consumption[[#This Row],[Building]]),0,Consumption[[#This Row],[Production per resident per second]]*3600)</f>
        <v>0</v>
      </c>
      <c r="AR37" s="58" t="str">
        <f>Consumption[[#This Row],[Building]]&amp;" - "&amp;Consumption[[#This Row],[Resource]]</f>
        <v>Merchant's Mansion - Cigar</v>
      </c>
    </row>
    <row r="38" spans="1:50" x14ac:dyDescent="0.45">
      <c r="A38">
        <v>140</v>
      </c>
      <c r="B38" t="s">
        <v>462</v>
      </c>
      <c r="C38" t="s">
        <v>465</v>
      </c>
      <c r="D38" t="s">
        <v>51</v>
      </c>
      <c r="E38">
        <v>1</v>
      </c>
      <c r="X38" s="4">
        <v>60</v>
      </c>
      <c r="Y38" s="4">
        <v>1</v>
      </c>
      <c r="Z38" s="88"/>
      <c r="AA38" s="9">
        <f>IFERROR(60/Production[[#This Row],[Production in 1h]],0)</f>
        <v>60</v>
      </c>
      <c r="AB38" s="9">
        <f>IFERROR(Production[[#This Row],[Qty Produced per Timer cycle]]*60/Production[[#This Row],[Timer]],0)</f>
        <v>1</v>
      </c>
      <c r="AC38" s="9">
        <f>IFERROR(IF(ISBLANK(Production[[#This Row],[Consumption Multiplier override]]),Production[[#This Row],[Production in 1h]]/Production[[#This Row],[Qty Produced per Timer cycle]],Production[[#This Row],[Consumption Multiplier override]]),0)</f>
        <v>1</v>
      </c>
      <c r="AD38" s="4"/>
      <c r="AE38" s="8" t="s">
        <v>347</v>
      </c>
      <c r="AJ38" s="52">
        <v>28</v>
      </c>
      <c r="AK38" s="55" t="s">
        <v>58</v>
      </c>
      <c r="AL38" t="s">
        <v>108</v>
      </c>
      <c r="AM38" t="s">
        <v>322</v>
      </c>
      <c r="AN38" s="22">
        <f>1/15000</f>
        <v>6.666666666666667E-5</v>
      </c>
      <c r="AO38" s="92">
        <f>IF(ISBLANK(Consumption[[#This Row],[Building]]),0,(1/15000)*3600)</f>
        <v>0.24000000000000002</v>
      </c>
      <c r="AP38" s="22">
        <v>0</v>
      </c>
      <c r="AQ38" s="20">
        <f>IF(ISBLANK(Consumption[[#This Row],[Building]]),0,Consumption[[#This Row],[Production per resident per second]]*3600)</f>
        <v>0</v>
      </c>
      <c r="AR38" s="58" t="str">
        <f>Consumption[[#This Row],[Building]]&amp;" - "&amp;Consumption[[#This Row],[Resource]]</f>
        <v>Merchant's Mansion - Bread</v>
      </c>
    </row>
    <row r="39" spans="1:50" ht="28.5" x14ac:dyDescent="0.45">
      <c r="A39">
        <v>141</v>
      </c>
      <c r="B39" t="s">
        <v>654</v>
      </c>
      <c r="C39" t="s">
        <v>331</v>
      </c>
      <c r="D39" t="s">
        <v>51</v>
      </c>
      <c r="E39">
        <v>0</v>
      </c>
      <c r="G39" s="8"/>
      <c r="X39" s="4">
        <v>60</v>
      </c>
      <c r="Y39" s="4">
        <v>1</v>
      </c>
      <c r="Z39" s="88"/>
      <c r="AA39" s="9">
        <f>IFERROR(60/Production[[#This Row],[Production in 1h]],0)</f>
        <v>60</v>
      </c>
      <c r="AB39" s="9">
        <f>IFERROR(Production[[#This Row],[Qty Produced per Timer cycle]]*60/Production[[#This Row],[Timer]],0)</f>
        <v>1</v>
      </c>
      <c r="AC39" s="9">
        <f>IFERROR(IF(ISBLANK(Production[[#This Row],[Consumption Multiplier override]]),Production[[#This Row],[Production in 1h]]/Production[[#This Row],[Qty Produced per Timer cycle]],Production[[#This Row],[Consumption Multiplier override]]),0)</f>
        <v>1</v>
      </c>
      <c r="AD39" s="4"/>
      <c r="AE39" s="8" t="s">
        <v>547</v>
      </c>
      <c r="AJ39">
        <v>29</v>
      </c>
      <c r="AK39" s="55" t="s">
        <v>58</v>
      </c>
      <c r="AL39" t="s">
        <v>137</v>
      </c>
      <c r="AM39" t="s">
        <v>324</v>
      </c>
      <c r="AN39" s="22">
        <f>1/30000</f>
        <v>3.3333333333333335E-5</v>
      </c>
      <c r="AO39" s="92">
        <f>IF(ISBLANK(Consumption[[#This Row],[Building]]),0,(1/30000)*3600)</f>
        <v>0.12000000000000001</v>
      </c>
      <c r="AP39" s="22">
        <f>1/9000</f>
        <v>1.1111111111111112E-4</v>
      </c>
      <c r="AQ39" s="20">
        <f>IF(ISBLANK(Consumption[[#This Row],[Building]]),0,Consumption[[#This Row],[Production per resident per second]]*3600)</f>
        <v>0.4</v>
      </c>
      <c r="AR39" s="58" t="str">
        <f>Consumption[[#This Row],[Building]]&amp;" - "&amp;Consumption[[#This Row],[Resource]]</f>
        <v>Merchant's Mansion - Clothes</v>
      </c>
    </row>
    <row r="40" spans="1:50" x14ac:dyDescent="0.45">
      <c r="A40">
        <v>130</v>
      </c>
      <c r="B40" t="s">
        <v>438</v>
      </c>
      <c r="C40" t="s">
        <v>381</v>
      </c>
      <c r="D40" t="s">
        <v>51</v>
      </c>
      <c r="E40">
        <v>1</v>
      </c>
      <c r="F40" t="s">
        <v>156</v>
      </c>
      <c r="G40">
        <v>1</v>
      </c>
      <c r="H40" t="s">
        <v>86</v>
      </c>
      <c r="I40">
        <v>16</v>
      </c>
      <c r="X40" s="4">
        <v>4</v>
      </c>
      <c r="Y40" s="4">
        <v>3</v>
      </c>
      <c r="Z40" s="88"/>
      <c r="AA40" s="9">
        <f>IFERROR(60/Production[[#This Row],[Production in 1h]],0)</f>
        <v>1.3333333333333333</v>
      </c>
      <c r="AB40" s="9">
        <f>IFERROR(Production[[#This Row],[Qty Produced per Timer cycle]]*60/Production[[#This Row],[Timer]],0)</f>
        <v>45</v>
      </c>
      <c r="AC40" s="9">
        <f>IFERROR(IF(ISBLANK(Production[[#This Row],[Consumption Multiplier override]]),Production[[#This Row],[Production in 1h]]/Production[[#This Row],[Qty Produced per Timer cycle]],Production[[#This Row],[Consumption Multiplier override]]),0)</f>
        <v>15</v>
      </c>
      <c r="AD40" s="4"/>
      <c r="AE40" s="8" t="s">
        <v>454</v>
      </c>
      <c r="AJ40" s="52">
        <v>30</v>
      </c>
      <c r="AK40" s="55" t="s">
        <v>58</v>
      </c>
      <c r="AL40" t="s">
        <v>146</v>
      </c>
      <c r="AM40" t="s">
        <v>324</v>
      </c>
      <c r="AN40" s="22">
        <f>1/15000</f>
        <v>6.666666666666667E-5</v>
      </c>
      <c r="AO40" s="92">
        <f>IF(ISBLANK(Consumption[[#This Row],[Building]]),0,(1/15000)*3600)</f>
        <v>0.24000000000000002</v>
      </c>
      <c r="AP40" s="22">
        <f t="shared" ref="AP40:AP42" si="1">1/9000</f>
        <v>1.1111111111111112E-4</v>
      </c>
      <c r="AQ40" s="20">
        <f>IF(ISBLANK(Consumption[[#This Row],[Building]]),0,Consumption[[#This Row],[Production per resident per second]]*3600)</f>
        <v>0.4</v>
      </c>
      <c r="AR40" s="58" t="str">
        <f>Consumption[[#This Row],[Building]]&amp;" - "&amp;Consumption[[#This Row],[Resource]]</f>
        <v>Merchant's Mansion - Beer</v>
      </c>
    </row>
    <row r="41" spans="1:50" x14ac:dyDescent="0.45">
      <c r="A41">
        <v>41</v>
      </c>
      <c r="B41" t="s">
        <v>94</v>
      </c>
      <c r="C41" t="s">
        <v>95</v>
      </c>
      <c r="D41" t="s">
        <v>51</v>
      </c>
      <c r="E41">
        <v>1</v>
      </c>
      <c r="F41" t="s">
        <v>93</v>
      </c>
      <c r="G41">
        <v>1</v>
      </c>
      <c r="H41" t="s">
        <v>49</v>
      </c>
      <c r="I41">
        <v>10</v>
      </c>
      <c r="X41" s="4">
        <v>8</v>
      </c>
      <c r="Y41" s="4">
        <v>1</v>
      </c>
      <c r="Z41" s="88"/>
      <c r="AA41" s="9">
        <f>IFERROR(60/Production[[#This Row],[Production in 1h]],0)</f>
        <v>8</v>
      </c>
      <c r="AB41" s="9">
        <f>IFERROR(Production[[#This Row],[Qty Produced per Timer cycle]]*60/Production[[#This Row],[Timer]],0)</f>
        <v>7.5</v>
      </c>
      <c r="AC41" s="9">
        <f>IFERROR(IF(ISBLANK(Production[[#This Row],[Consumption Multiplier override]]),Production[[#This Row],[Production in 1h]]/Production[[#This Row],[Qty Produced per Timer cycle]],Production[[#This Row],[Consumption Multiplier override]]),0)</f>
        <v>7.5</v>
      </c>
      <c r="AD41" s="4"/>
      <c r="AE41" s="8" t="s">
        <v>766</v>
      </c>
      <c r="AJ41">
        <v>31</v>
      </c>
      <c r="AK41" s="55" t="s">
        <v>58</v>
      </c>
      <c r="AL41" t="s">
        <v>167</v>
      </c>
      <c r="AM41" t="s">
        <v>324</v>
      </c>
      <c r="AN41" s="22">
        <f>1/7500</f>
        <v>1.3333333333333334E-4</v>
      </c>
      <c r="AO41" s="92">
        <f>IF(ISBLANK(Consumption[[#This Row],[Building]]),0,(1/7500)*3600)</f>
        <v>0.48000000000000004</v>
      </c>
      <c r="AP41" s="22">
        <f t="shared" si="1"/>
        <v>1.1111111111111112E-4</v>
      </c>
      <c r="AQ41" s="20">
        <f>IF(ISBLANK(Consumption[[#This Row],[Building]]),0,Consumption[[#This Row],[Production per resident per second]]*3600)</f>
        <v>0.4</v>
      </c>
      <c r="AR41" s="58" t="str">
        <f>Consumption[[#This Row],[Building]]&amp;" - "&amp;Consumption[[#This Row],[Resource]]</f>
        <v>Merchant's Mansion - Meat</v>
      </c>
    </row>
    <row r="42" spans="1:50" x14ac:dyDescent="0.45">
      <c r="A42">
        <v>39</v>
      </c>
      <c r="B42" t="s">
        <v>90</v>
      </c>
      <c r="C42" t="s">
        <v>91</v>
      </c>
      <c r="D42" t="s">
        <v>53</v>
      </c>
      <c r="E42">
        <v>1</v>
      </c>
      <c r="X42" s="4">
        <v>4</v>
      </c>
      <c r="Y42" s="4">
        <v>1</v>
      </c>
      <c r="Z42" s="88" t="s">
        <v>510</v>
      </c>
      <c r="AA42" s="9">
        <f>IFERROR(60/Production[[#This Row],[Production in 1h]],0)</f>
        <v>4</v>
      </c>
      <c r="AB42" s="9">
        <f>IFERROR(Production[[#This Row],[Qty Produced per Timer cycle]]*60/Production[[#This Row],[Timer]],0)</f>
        <v>15</v>
      </c>
      <c r="AC42" s="9">
        <f>IFERROR(IF(ISBLANK(Production[[#This Row],[Consumption Multiplier override]]),Production[[#This Row],[Production in 1h]]/Production[[#This Row],[Qty Produced per Timer cycle]],Production[[#This Row],[Consumption Multiplier override]]),0)</f>
        <v>1</v>
      </c>
      <c r="AD42" s="4">
        <v>1</v>
      </c>
      <c r="AE42" s="8"/>
      <c r="AJ42" s="52">
        <v>32</v>
      </c>
      <c r="AK42" s="55" t="s">
        <v>58</v>
      </c>
      <c r="AL42" t="s">
        <v>173</v>
      </c>
      <c r="AM42" t="s">
        <v>324</v>
      </c>
      <c r="AN42" s="22">
        <f>1/45000</f>
        <v>2.2222222222222223E-5</v>
      </c>
      <c r="AO42" s="92">
        <f>IF(ISBLANK(Consumption[[#This Row],[Building]]),0,(1/40000)*3600)</f>
        <v>9.0000000000000011E-2</v>
      </c>
      <c r="AP42" s="22">
        <f t="shared" si="1"/>
        <v>1.1111111111111112E-4</v>
      </c>
      <c r="AQ42" s="20">
        <f>IF(ISBLANK(Consumption[[#This Row],[Building]]),0,Consumption[[#This Row],[Production per resident per second]]*3600)</f>
        <v>0.4</v>
      </c>
      <c r="AR42" s="58" t="str">
        <f>Consumption[[#This Row],[Building]]&amp;" - "&amp;Consumption[[#This Row],[Resource]]</f>
        <v>Merchant's Mansion - Gold Jewelry</v>
      </c>
    </row>
    <row r="43" spans="1:50" x14ac:dyDescent="0.45">
      <c r="A43">
        <v>40</v>
      </c>
      <c r="B43" t="s">
        <v>92</v>
      </c>
      <c r="C43" t="s">
        <v>93</v>
      </c>
      <c r="D43" t="s">
        <v>51</v>
      </c>
      <c r="E43">
        <v>1</v>
      </c>
      <c r="F43" t="s">
        <v>91</v>
      </c>
      <c r="G43">
        <v>1</v>
      </c>
      <c r="H43" t="s">
        <v>49</v>
      </c>
      <c r="I43">
        <v>10</v>
      </c>
      <c r="X43" s="4">
        <v>8</v>
      </c>
      <c r="Y43" s="4">
        <v>1</v>
      </c>
      <c r="Z43" s="88"/>
      <c r="AA43" s="9">
        <f>IFERROR(60/Production[[#This Row],[Production in 1h]],0)</f>
        <v>8</v>
      </c>
      <c r="AB43" s="9">
        <f>IFERROR(Production[[#This Row],[Qty Produced per Timer cycle]]*60/Production[[#This Row],[Timer]],0)</f>
        <v>7.5</v>
      </c>
      <c r="AC43" s="9">
        <f>IFERROR(IF(ISBLANK(Production[[#This Row],[Consumption Multiplier override]]),Production[[#This Row],[Production in 1h]]/Production[[#This Row],[Qty Produced per Timer cycle]],Production[[#This Row],[Consumption Multiplier override]]),0)</f>
        <v>7.5</v>
      </c>
      <c r="AD43" s="4"/>
      <c r="AE43" s="8" t="s">
        <v>712</v>
      </c>
      <c r="AJ43">
        <v>33</v>
      </c>
      <c r="AK43" s="55" t="s">
        <v>58</v>
      </c>
      <c r="AL43" t="s">
        <v>152</v>
      </c>
      <c r="AM43" t="s">
        <v>324</v>
      </c>
      <c r="AN43" s="22">
        <v>0</v>
      </c>
      <c r="AO43" s="110">
        <v>0</v>
      </c>
      <c r="AP43" s="22">
        <f>1/18000</f>
        <v>5.5555555555555558E-5</v>
      </c>
      <c r="AQ43" s="58">
        <f>IF(ISBLANK(Consumption[[#This Row],[Building]]),0,Consumption[[#This Row],[Production per resident per second]]*3600)</f>
        <v>0.2</v>
      </c>
      <c r="AR43" s="58" t="str">
        <f>Consumption[[#This Row],[Building]]&amp;" - "&amp;Consumption[[#This Row],[Resource]]</f>
        <v>Merchant's Mansion - Medical Care</v>
      </c>
    </row>
    <row r="44" spans="1:50" x14ac:dyDescent="0.45">
      <c r="A44">
        <v>66</v>
      </c>
      <c r="B44" t="s">
        <v>874</v>
      </c>
      <c r="C44" t="s">
        <v>366</v>
      </c>
      <c r="D44" t="s">
        <v>51</v>
      </c>
      <c r="E44">
        <v>1</v>
      </c>
      <c r="X44" s="4">
        <v>8</v>
      </c>
      <c r="Y44" s="4">
        <v>1</v>
      </c>
      <c r="Z44" s="88" t="s">
        <v>513</v>
      </c>
      <c r="AA44" s="9">
        <f>IFERROR(60/Production[[#This Row],[Production in 1h]],0)</f>
        <v>8</v>
      </c>
      <c r="AB44" s="9">
        <f>IFERROR(Production[[#This Row],[Qty Produced per Timer cycle]]*60/Production[[#This Row],[Timer]],0)</f>
        <v>7.5</v>
      </c>
      <c r="AC44" s="9">
        <f>IFERROR(IF(ISBLANK(Production[[#This Row],[Consumption Multiplier override]]),Production[[#This Row],[Production in 1h]]/Production[[#This Row],[Qty Produced per Timer cycle]],Production[[#This Row],[Consumption Multiplier override]]),0)</f>
        <v>1</v>
      </c>
      <c r="AD44" s="4">
        <v>1</v>
      </c>
      <c r="AE44" s="8"/>
      <c r="AJ44" s="52">
        <v>34</v>
      </c>
      <c r="AK44" s="55" t="s">
        <v>58</v>
      </c>
      <c r="AL44" t="s">
        <v>337</v>
      </c>
      <c r="AM44" t="s">
        <v>324</v>
      </c>
      <c r="AN44" s="22">
        <v>0</v>
      </c>
      <c r="AO44" s="110">
        <v>0</v>
      </c>
      <c r="AP44" s="22">
        <f>1/18000</f>
        <v>5.5555555555555558E-5</v>
      </c>
      <c r="AQ44" s="58">
        <f>IF(ISBLANK(Consumption[[#This Row],[Building]]),0,Consumption[[#This Row],[Production per resident per second]]*3600)</f>
        <v>0.2</v>
      </c>
      <c r="AR44" s="58" t="str">
        <f>Consumption[[#This Row],[Building]]&amp;" - "&amp;Consumption[[#This Row],[Resource]]</f>
        <v>Merchant's Mansion - Hygiene</v>
      </c>
    </row>
    <row r="45" spans="1:50" x14ac:dyDescent="0.45">
      <c r="A45">
        <v>67</v>
      </c>
      <c r="B45" t="s">
        <v>132</v>
      </c>
      <c r="C45" t="s">
        <v>132</v>
      </c>
      <c r="D45" t="s">
        <v>51</v>
      </c>
      <c r="E45">
        <v>1</v>
      </c>
      <c r="X45" s="4">
        <v>60</v>
      </c>
      <c r="Y45" s="4">
        <v>1</v>
      </c>
      <c r="Z45" s="88"/>
      <c r="AA45" s="9">
        <f>IFERROR(60/Production[[#This Row],[Production in 1h]],0)</f>
        <v>60</v>
      </c>
      <c r="AB45" s="9">
        <f>IFERROR(Production[[#This Row],[Qty Produced per Timer cycle]]*60/Production[[#This Row],[Timer]],0)</f>
        <v>1</v>
      </c>
      <c r="AC45" s="9">
        <f>IFERROR(IF(ISBLANK(Production[[#This Row],[Consumption Multiplier override]]),Production[[#This Row],[Production in 1h]]/Production[[#This Row],[Qty Produced per Timer cycle]],Production[[#This Row],[Consumption Multiplier override]]),0)</f>
        <v>1</v>
      </c>
      <c r="AD45" s="4">
        <v>1</v>
      </c>
      <c r="AE45" s="8"/>
      <c r="AJ45">
        <v>35</v>
      </c>
      <c r="AK45" s="55" t="s">
        <v>59</v>
      </c>
      <c r="AL45" t="s">
        <v>116</v>
      </c>
      <c r="AM45" t="s">
        <v>322</v>
      </c>
      <c r="AN45" s="22">
        <f>1/22500</f>
        <v>4.4444444444444447E-5</v>
      </c>
      <c r="AO45" s="92">
        <f>IF(ISBLANK(Consumption[[#This Row],[Building]]),0,(1/24000)*3600)</f>
        <v>0.15</v>
      </c>
      <c r="AP45" s="22">
        <v>0</v>
      </c>
      <c r="AQ45" s="20">
        <f>IF(ISBLANK(Consumption[[#This Row],[Building]]),0,Consumption[[#This Row],[Production per resident per second]]*3600)</f>
        <v>0</v>
      </c>
      <c r="AR45" s="58" t="str">
        <f>Consumption[[#This Row],[Building]]&amp;" - "&amp;Consumption[[#This Row],[Resource]]</f>
        <v>Paragon's Residence - Cigar</v>
      </c>
    </row>
    <row r="46" spans="1:50" x14ac:dyDescent="0.45">
      <c r="A46">
        <v>68</v>
      </c>
      <c r="B46" t="s">
        <v>133</v>
      </c>
      <c r="C46" t="s">
        <v>366</v>
      </c>
      <c r="D46" t="s">
        <v>51</v>
      </c>
      <c r="E46">
        <v>1</v>
      </c>
      <c r="F46" t="s">
        <v>132</v>
      </c>
      <c r="G46">
        <v>8</v>
      </c>
      <c r="X46" s="4">
        <v>1</v>
      </c>
      <c r="Y46" s="4">
        <v>1</v>
      </c>
      <c r="Z46" s="88"/>
      <c r="AA46" s="9">
        <f>IFERROR(60/Production[[#This Row],[Production in 1h]],0)</f>
        <v>1</v>
      </c>
      <c r="AB46" s="9">
        <f>IFERROR(Production[[#This Row],[Qty Produced per Timer cycle]]*60/Production[[#This Row],[Timer]],0)</f>
        <v>60</v>
      </c>
      <c r="AC46" s="9">
        <f>IFERROR(IF(ISBLANK(Production[[#This Row],[Consumption Multiplier override]]),Production[[#This Row],[Production in 1h]]/Production[[#This Row],[Qty Produced per Timer cycle]],Production[[#This Row],[Consumption Multiplier override]]),0)</f>
        <v>1</v>
      </c>
      <c r="AD46" s="4">
        <v>1</v>
      </c>
      <c r="AE46" s="8" t="s">
        <v>887</v>
      </c>
      <c r="AJ46" s="52">
        <v>36</v>
      </c>
      <c r="AK46" s="55" t="s">
        <v>59</v>
      </c>
      <c r="AL46" s="55" t="s">
        <v>137</v>
      </c>
      <c r="AM46" s="55" t="s">
        <v>322</v>
      </c>
      <c r="AN46" s="22">
        <f>1/30000</f>
        <v>3.3333333333333335E-5</v>
      </c>
      <c r="AO46" s="92">
        <f>IF(ISBLANK(Consumption[[#This Row],[Building]]),0,(1/30000)*3600)</f>
        <v>0.12000000000000001</v>
      </c>
      <c r="AP46" s="22">
        <v>0</v>
      </c>
      <c r="AQ46" s="20">
        <f>IF(ISBLANK(Consumption[[#This Row],[Building]]),0,Consumption[[#This Row],[Production per resident per second]]*3600)</f>
        <v>0</v>
      </c>
      <c r="AR46" s="59" t="str">
        <f>Consumption[[#This Row],[Building]]&amp;" - "&amp;Consumption[[#This Row],[Resource]]</f>
        <v>Paragon's Residence - Clothes</v>
      </c>
    </row>
    <row r="47" spans="1:50" x14ac:dyDescent="0.45">
      <c r="A47">
        <v>95</v>
      </c>
      <c r="B47" t="s">
        <v>174</v>
      </c>
      <c r="C47" t="s">
        <v>175</v>
      </c>
      <c r="D47" t="s">
        <v>51</v>
      </c>
      <c r="E47">
        <v>1</v>
      </c>
      <c r="F47" t="s">
        <v>69</v>
      </c>
      <c r="G47">
        <v>2</v>
      </c>
      <c r="H47" t="s">
        <v>156</v>
      </c>
      <c r="I47">
        <v>1</v>
      </c>
      <c r="X47" s="4">
        <v>4</v>
      </c>
      <c r="Y47" s="4">
        <v>1</v>
      </c>
      <c r="Z47" s="88"/>
      <c r="AA47" s="9">
        <f>IFERROR(60/Production[[#This Row],[Production in 1h]],0)</f>
        <v>4</v>
      </c>
      <c r="AB47" s="9">
        <f>IFERROR(Production[[#This Row],[Qty Produced per Timer cycle]]*60/Production[[#This Row],[Timer]],0)</f>
        <v>15</v>
      </c>
      <c r="AC47" s="9">
        <f>IFERROR(IF(ISBLANK(Production[[#This Row],[Consumption Multiplier override]]),Production[[#This Row],[Production in 1h]]/Production[[#This Row],[Qty Produced per Timer cycle]],Production[[#This Row],[Consumption Multiplier override]]),0)</f>
        <v>15</v>
      </c>
      <c r="AD47" s="4"/>
      <c r="AE47" s="8" t="s">
        <v>176</v>
      </c>
      <c r="AJ47">
        <v>37</v>
      </c>
      <c r="AK47" s="55" t="s">
        <v>59</v>
      </c>
      <c r="AL47" s="55" t="s">
        <v>146</v>
      </c>
      <c r="AM47" s="55" t="s">
        <v>322</v>
      </c>
      <c r="AN47" s="22">
        <f>1/15000</f>
        <v>6.666666666666667E-5</v>
      </c>
      <c r="AO47" s="92">
        <f>IF(ISBLANK(Consumption[[#This Row],[Building]]),0,(1/15000)*3600)</f>
        <v>0.24000000000000002</v>
      </c>
      <c r="AP47" s="22">
        <v>0</v>
      </c>
      <c r="AQ47" s="20">
        <f>IF(ISBLANK(Consumption[[#This Row],[Building]]),0,Consumption[[#This Row],[Production per resident per second]]*3600)</f>
        <v>0</v>
      </c>
      <c r="AR47" s="59" t="str">
        <f>Consumption[[#This Row],[Building]]&amp;" - "&amp;Consumption[[#This Row],[Resource]]</f>
        <v>Paragon's Residence - Beer</v>
      </c>
    </row>
    <row r="48" spans="1:50" ht="28.5" x14ac:dyDescent="0.45">
      <c r="A48">
        <v>96</v>
      </c>
      <c r="B48" t="s">
        <v>177</v>
      </c>
      <c r="C48" t="s">
        <v>18</v>
      </c>
      <c r="D48" t="s">
        <v>51</v>
      </c>
      <c r="E48">
        <v>1</v>
      </c>
      <c r="F48" t="s">
        <v>61</v>
      </c>
      <c r="G48">
        <v>4</v>
      </c>
      <c r="H48" t="s">
        <v>175</v>
      </c>
      <c r="I48">
        <v>1</v>
      </c>
      <c r="J48" t="s">
        <v>9</v>
      </c>
      <c r="K48">
        <v>1</v>
      </c>
      <c r="X48" s="4">
        <v>10</v>
      </c>
      <c r="Y48" s="4">
        <v>1</v>
      </c>
      <c r="Z48" s="88"/>
      <c r="AA48" s="9">
        <f>IFERROR(60/Production[[#This Row],[Production in 1h]],0)</f>
        <v>10</v>
      </c>
      <c r="AB48" s="9">
        <f>IFERROR(Production[[#This Row],[Qty Produced per Timer cycle]]*60/Production[[#This Row],[Timer]],0)</f>
        <v>6</v>
      </c>
      <c r="AC48" s="9">
        <f>IFERROR(IF(ISBLANK(Production[[#This Row],[Consumption Multiplier override]]),Production[[#This Row],[Production in 1h]]/Production[[#This Row],[Qty Produced per Timer cycle]],Production[[#This Row],[Consumption Multiplier override]]),0)</f>
        <v>6</v>
      </c>
      <c r="AD48" s="4"/>
      <c r="AE48" s="8" t="s">
        <v>178</v>
      </c>
      <c r="AJ48" s="52">
        <v>38</v>
      </c>
      <c r="AK48" s="55" t="s">
        <v>59</v>
      </c>
      <c r="AL48" s="55" t="s">
        <v>167</v>
      </c>
      <c r="AM48" s="55" t="s">
        <v>322</v>
      </c>
      <c r="AN48" s="22">
        <f>1/7500</f>
        <v>1.3333333333333334E-4</v>
      </c>
      <c r="AO48" s="92">
        <f>IF(ISBLANK(Consumption[[#This Row],[Building]]),0,(1/7500)*3600)</f>
        <v>0.48000000000000004</v>
      </c>
      <c r="AP48" s="22">
        <v>0</v>
      </c>
      <c r="AQ48" s="20">
        <f>IF(ISBLANK(Consumption[[#This Row],[Building]]),0,Consumption[[#This Row],[Production per resident per second]]*3600)</f>
        <v>0</v>
      </c>
      <c r="AR48" s="59" t="str">
        <f>Consumption[[#This Row],[Building]]&amp;" - "&amp;Consumption[[#This Row],[Resource]]</f>
        <v>Paragon's Residence - Meat</v>
      </c>
    </row>
    <row r="49" spans="1:44" ht="28.5" x14ac:dyDescent="0.45">
      <c r="A49">
        <v>123</v>
      </c>
      <c r="B49" t="s">
        <v>431</v>
      </c>
      <c r="C49" t="s">
        <v>17</v>
      </c>
      <c r="D49" t="s">
        <v>51</v>
      </c>
      <c r="E49">
        <f>3/3</f>
        <v>1</v>
      </c>
      <c r="F49" t="s">
        <v>61</v>
      </c>
      <c r="G49">
        <v>5</v>
      </c>
      <c r="H49" t="s">
        <v>386</v>
      </c>
      <c r="I49">
        <v>1</v>
      </c>
      <c r="J49" t="s">
        <v>9</v>
      </c>
      <c r="K49">
        <v>1</v>
      </c>
      <c r="X49" s="4">
        <v>10</v>
      </c>
      <c r="Y49" s="4">
        <v>1</v>
      </c>
      <c r="Z49" s="88"/>
      <c r="AA49" s="9">
        <f>IFERROR(60/Production[[#This Row],[Production in 1h]],0)</f>
        <v>10</v>
      </c>
      <c r="AB49" s="9">
        <f>IFERROR(Production[[#This Row],[Qty Produced per Timer cycle]]*60/Production[[#This Row],[Timer]],0)</f>
        <v>6</v>
      </c>
      <c r="AC49" s="9">
        <f>IFERROR(IF(ISBLANK(Production[[#This Row],[Consumption Multiplier override]]),Production[[#This Row],[Production in 1h]]/Production[[#This Row],[Qty Produced per Timer cycle]],Production[[#This Row],[Consumption Multiplier override]]),0)</f>
        <v>6</v>
      </c>
      <c r="AD49" s="4"/>
      <c r="AE49" s="8" t="s">
        <v>451</v>
      </c>
      <c r="AJ49">
        <v>39</v>
      </c>
      <c r="AK49" s="55" t="s">
        <v>59</v>
      </c>
      <c r="AL49" s="55" t="s">
        <v>330</v>
      </c>
      <c r="AM49" s="55" t="s">
        <v>322</v>
      </c>
      <c r="AN49" s="22">
        <v>0</v>
      </c>
      <c r="AO49" s="110">
        <v>0</v>
      </c>
      <c r="AP49" s="22">
        <v>0</v>
      </c>
      <c r="AQ49" s="58">
        <f>IF(ISBLANK(Consumption[[#This Row],[Building]]),0,Consumption[[#This Row],[Production per resident per second]]*3600)</f>
        <v>0</v>
      </c>
      <c r="AR49" s="59" t="str">
        <f>Consumption[[#This Row],[Building]]&amp;" - "&amp;Consumption[[#This Row],[Resource]]</f>
        <v>Paragon's Residence - Water</v>
      </c>
    </row>
    <row r="50" spans="1:44" x14ac:dyDescent="0.45">
      <c r="A50">
        <v>124</v>
      </c>
      <c r="B50" t="s">
        <v>432</v>
      </c>
      <c r="C50" t="s">
        <v>377</v>
      </c>
      <c r="D50" t="s">
        <v>51</v>
      </c>
      <c r="E50">
        <f>3/3</f>
        <v>1</v>
      </c>
      <c r="F50" t="s">
        <v>66</v>
      </c>
      <c r="G50">
        <v>2</v>
      </c>
      <c r="H50" t="s">
        <v>375</v>
      </c>
      <c r="I50">
        <v>1</v>
      </c>
      <c r="X50" s="4">
        <v>2</v>
      </c>
      <c r="Y50" s="4">
        <v>1</v>
      </c>
      <c r="Z50" s="88"/>
      <c r="AA50" s="9">
        <f>IFERROR(60/Production[[#This Row],[Production in 1h]],0)</f>
        <v>2</v>
      </c>
      <c r="AB50" s="9">
        <f>IFERROR(Production[[#This Row],[Qty Produced per Timer cycle]]*60/Production[[#This Row],[Timer]],0)</f>
        <v>30</v>
      </c>
      <c r="AC50" s="9">
        <f>IFERROR(IF(ISBLANK(Production[[#This Row],[Consumption Multiplier override]]),Production[[#This Row],[Production in 1h]]/Production[[#This Row],[Qty Produced per Timer cycle]],Production[[#This Row],[Consumption Multiplier override]]),0)</f>
        <v>30</v>
      </c>
      <c r="AD50" s="4"/>
      <c r="AE50" s="8" t="s">
        <v>452</v>
      </c>
      <c r="AJ50" s="52">
        <v>40</v>
      </c>
      <c r="AK50" s="55" t="s">
        <v>59</v>
      </c>
      <c r="AL50" s="55" t="s">
        <v>331</v>
      </c>
      <c r="AM50" s="55" t="s">
        <v>322</v>
      </c>
      <c r="AN50" s="22">
        <v>0</v>
      </c>
      <c r="AO50" s="110">
        <v>0</v>
      </c>
      <c r="AP50" s="22">
        <v>0</v>
      </c>
      <c r="AQ50" s="58">
        <f>IF(ISBLANK(Consumption[[#This Row],[Building]]),0,Consumption[[#This Row],[Production per resident per second]]*3600)</f>
        <v>0</v>
      </c>
      <c r="AR50" s="59" t="str">
        <f>Consumption[[#This Row],[Building]]&amp;" - "&amp;Consumption[[#This Row],[Resource]]</f>
        <v>Paragon's Residence - Community</v>
      </c>
    </row>
    <row r="51" spans="1:44" x14ac:dyDescent="0.45">
      <c r="A51">
        <v>119</v>
      </c>
      <c r="B51" t="s">
        <v>427</v>
      </c>
      <c r="C51" t="s">
        <v>660</v>
      </c>
      <c r="D51" t="s">
        <v>51</v>
      </c>
      <c r="E51">
        <f>3/3</f>
        <v>1</v>
      </c>
      <c r="F51" t="s">
        <v>376</v>
      </c>
      <c r="G51">
        <v>3</v>
      </c>
      <c r="H51" t="s">
        <v>93</v>
      </c>
      <c r="I51">
        <v>1</v>
      </c>
      <c r="X51" s="4">
        <v>4</v>
      </c>
      <c r="Y51" s="4">
        <v>3</v>
      </c>
      <c r="Z51" s="88"/>
      <c r="AA51" s="9">
        <f>IFERROR(60/Production[[#This Row],[Production in 1h]],0)</f>
        <v>1.3333333333333333</v>
      </c>
      <c r="AB51" s="9">
        <f>IFERROR(Production[[#This Row],[Qty Produced per Timer cycle]]*60/Production[[#This Row],[Timer]],0)</f>
        <v>45</v>
      </c>
      <c r="AC51" s="9">
        <f>IFERROR(IF(ISBLANK(Production[[#This Row],[Consumption Multiplier override]]),Production[[#This Row],[Production in 1h]]/Production[[#This Row],[Qty Produced per Timer cycle]],Production[[#This Row],[Consumption Multiplier override]]),0)</f>
        <v>15</v>
      </c>
      <c r="AD51" s="4"/>
      <c r="AE51" s="8" t="s">
        <v>449</v>
      </c>
      <c r="AJ51">
        <v>41</v>
      </c>
      <c r="AK51" s="55" t="s">
        <v>59</v>
      </c>
      <c r="AL51" s="55" t="s">
        <v>332</v>
      </c>
      <c r="AM51" s="55" t="s">
        <v>322</v>
      </c>
      <c r="AN51" s="22">
        <v>0</v>
      </c>
      <c r="AO51" s="110">
        <v>0</v>
      </c>
      <c r="AP51" s="22">
        <v>0</v>
      </c>
      <c r="AQ51" s="58">
        <f>IF(ISBLANK(Consumption[[#This Row],[Building]]),0,Consumption[[#This Row],[Production per resident per second]]*3600)</f>
        <v>0</v>
      </c>
      <c r="AR51" s="59" t="str">
        <f>Consumption[[#This Row],[Building]]&amp;" - "&amp;Consumption[[#This Row],[Resource]]</f>
        <v>Paragon's Residence - Education</v>
      </c>
    </row>
    <row r="52" spans="1:44" x14ac:dyDescent="0.45">
      <c r="A52">
        <v>15</v>
      </c>
      <c r="B52" s="8" t="s">
        <v>62</v>
      </c>
      <c r="C52" s="8" t="s">
        <v>63</v>
      </c>
      <c r="D52" s="8" t="s">
        <v>51</v>
      </c>
      <c r="E52" s="8">
        <v>1</v>
      </c>
      <c r="F52" s="8" t="s">
        <v>52</v>
      </c>
      <c r="G52" s="8">
        <v>4</v>
      </c>
      <c r="H52" s="8"/>
      <c r="I52" s="8"/>
      <c r="J52" s="8"/>
      <c r="K52" s="8"/>
      <c r="L52" s="8"/>
      <c r="M52" s="8"/>
      <c r="N52" s="8"/>
      <c r="O52" s="8"/>
      <c r="P52" s="8"/>
      <c r="Q52" s="8"/>
      <c r="R52" s="8"/>
      <c r="S52" s="8"/>
      <c r="T52" s="8"/>
      <c r="U52" s="8"/>
      <c r="V52" s="8"/>
      <c r="W52" s="8"/>
      <c r="X52" s="4">
        <f>80/60</f>
        <v>1.3333333333333333</v>
      </c>
      <c r="Y52" s="4">
        <v>1</v>
      </c>
      <c r="Z52" s="88"/>
      <c r="AA52" s="9">
        <f>IFERROR(60/Production[[#This Row],[Production in 1h]],0)</f>
        <v>1.3333333333333333</v>
      </c>
      <c r="AB52" s="9">
        <f>IFERROR(Production[[#This Row],[Qty Produced per Timer cycle]]*60/Production[[#This Row],[Timer]],0)</f>
        <v>45</v>
      </c>
      <c r="AC52" s="9">
        <f>IFERROR(IF(ISBLANK(Production[[#This Row],[Consumption Multiplier override]]),Production[[#This Row],[Production in 1h]]/Production[[#This Row],[Qty Produced per Timer cycle]],Production[[#This Row],[Consumption Multiplier override]]),0)</f>
        <v>45</v>
      </c>
      <c r="AD52" s="9"/>
      <c r="AE52" s="8"/>
      <c r="AJ52" s="52">
        <v>42</v>
      </c>
      <c r="AK52" s="55" t="s">
        <v>59</v>
      </c>
      <c r="AL52" s="55" t="s">
        <v>152</v>
      </c>
      <c r="AM52" s="55" t="s">
        <v>322</v>
      </c>
      <c r="AN52" s="22">
        <v>0</v>
      </c>
      <c r="AO52" s="110">
        <v>0</v>
      </c>
      <c r="AP52" s="22">
        <v>0</v>
      </c>
      <c r="AQ52" s="58">
        <f>IF(ISBLANK(Consumption[[#This Row],[Building]]),0,Consumption[[#This Row],[Production per resident per second]]*3600)</f>
        <v>0</v>
      </c>
      <c r="AR52" s="59" t="str">
        <f>Consumption[[#This Row],[Building]]&amp;" - "&amp;Consumption[[#This Row],[Resource]]</f>
        <v>Paragon's Residence - Medical Care</v>
      </c>
    </row>
    <row r="53" spans="1:44" x14ac:dyDescent="0.45">
      <c r="A53">
        <v>11</v>
      </c>
      <c r="B53" s="8" t="s">
        <v>498</v>
      </c>
      <c r="C53" s="8"/>
      <c r="D53" s="8" t="s">
        <v>51</v>
      </c>
      <c r="E53" s="96">
        <v>1</v>
      </c>
      <c r="F53" s="8"/>
      <c r="G53" s="8"/>
      <c r="H53" s="8"/>
      <c r="I53" s="8"/>
      <c r="J53" s="8"/>
      <c r="K53" s="8"/>
      <c r="L53" s="8"/>
      <c r="M53" s="8"/>
      <c r="N53" s="8"/>
      <c r="O53" s="8"/>
      <c r="P53" s="8"/>
      <c r="Q53" s="8"/>
      <c r="R53" s="8"/>
      <c r="S53" s="8"/>
      <c r="T53" s="8"/>
      <c r="U53" s="8"/>
      <c r="V53" s="8"/>
      <c r="W53" s="8"/>
      <c r="X53" s="9">
        <f>10/60</f>
        <v>0.16666666666666666</v>
      </c>
      <c r="Y53" s="9">
        <v>0</v>
      </c>
      <c r="Z53" s="87"/>
      <c r="AA53" s="9">
        <f>IFERROR(60/Production[[#This Row],[Production in 1h]],0)</f>
        <v>0</v>
      </c>
      <c r="AB53" s="9">
        <f>IFERROR(Production[[#This Row],[Qty Produced per Timer cycle]]*60/Production[[#This Row],[Timer]],0)</f>
        <v>0</v>
      </c>
      <c r="AC53" s="9">
        <f>IFERROR(IF(ISBLANK(Production[[#This Row],[Consumption Multiplier override]]),Production[[#This Row],[Production in 1h]]/Production[[#This Row],[Qty Produced per Timer cycle]],Production[[#This Row],[Consumption Multiplier override]]),0)</f>
        <v>0</v>
      </c>
      <c r="AD53" s="9"/>
      <c r="AE53" s="87" t="s">
        <v>499</v>
      </c>
      <c r="AJ53">
        <v>43</v>
      </c>
      <c r="AK53" s="55" t="s">
        <v>59</v>
      </c>
      <c r="AL53" s="55" t="s">
        <v>337</v>
      </c>
      <c r="AM53" s="55" t="s">
        <v>322</v>
      </c>
      <c r="AN53" s="22">
        <v>0</v>
      </c>
      <c r="AO53" s="110">
        <v>0</v>
      </c>
      <c r="AP53" s="22">
        <v>0</v>
      </c>
      <c r="AQ53" s="58">
        <f>IF(ISBLANK(Consumption[[#This Row],[Building]]),0,Consumption[[#This Row],[Production per resident per second]]*3600)</f>
        <v>0</v>
      </c>
      <c r="AR53" s="59" t="str">
        <f>Consumption[[#This Row],[Building]]&amp;" - "&amp;Consumption[[#This Row],[Resource]]</f>
        <v>Paragon's Residence - Hygiene</v>
      </c>
    </row>
    <row r="54" spans="1:44" x14ac:dyDescent="0.45">
      <c r="A54">
        <v>22</v>
      </c>
      <c r="B54" t="s">
        <v>504</v>
      </c>
      <c r="D54" t="s">
        <v>51</v>
      </c>
      <c r="E54">
        <v>1</v>
      </c>
      <c r="G54" s="8"/>
      <c r="X54" s="4">
        <v>0</v>
      </c>
      <c r="Y54" s="4">
        <v>0</v>
      </c>
      <c r="Z54" s="88"/>
      <c r="AA54" s="9">
        <f>IFERROR(60/Production[[#This Row],[Production in 1h]],0)</f>
        <v>0</v>
      </c>
      <c r="AB54" s="9">
        <f>IFERROR(Production[[#This Row],[Qty Produced per Timer cycle]]*60/Production[[#This Row],[Timer]],0)</f>
        <v>0</v>
      </c>
      <c r="AC54" s="9">
        <f>IFERROR(IF(ISBLANK(Production[[#This Row],[Consumption Multiplier override]]),Production[[#This Row],[Production in 1h]]/Production[[#This Row],[Qty Produced per Timer cycle]],Production[[#This Row],[Consumption Multiplier override]]),0)</f>
        <v>0</v>
      </c>
      <c r="AD54" s="4"/>
      <c r="AE54" s="87" t="s">
        <v>499</v>
      </c>
      <c r="AJ54" s="52">
        <v>44</v>
      </c>
      <c r="AK54" s="55" t="s">
        <v>59</v>
      </c>
      <c r="AL54" s="55" t="s">
        <v>372</v>
      </c>
      <c r="AM54" s="55" t="s">
        <v>324</v>
      </c>
      <c r="AN54" s="22">
        <f>1/15300</f>
        <v>6.5359477124183013E-5</v>
      </c>
      <c r="AO54" s="92">
        <f>IF(ISBLANK(Consumption[[#This Row],[Building]]),0,(1/15000)*3600)</f>
        <v>0.24000000000000002</v>
      </c>
      <c r="AP54" s="22">
        <f>1/1000000</f>
        <v>9.9999999999999995E-7</v>
      </c>
      <c r="AQ54" s="20">
        <f>IF(ISBLANK(Consumption[[#This Row],[Building]]),0,Consumption[[#This Row],[Production per resident per second]]*3600)</f>
        <v>3.5999999999999999E-3</v>
      </c>
      <c r="AR54" s="59" t="str">
        <f>Consumption[[#This Row],[Building]]&amp;" - "&amp;Consumption[[#This Row],[Resource]]</f>
        <v>Paragon's Residence - Garment</v>
      </c>
    </row>
    <row r="55" spans="1:44" x14ac:dyDescent="0.45">
      <c r="A55">
        <v>47</v>
      </c>
      <c r="B55" t="s">
        <v>506</v>
      </c>
      <c r="D55" t="s">
        <v>51</v>
      </c>
      <c r="E55">
        <v>1</v>
      </c>
      <c r="G55" s="8"/>
      <c r="X55" s="4">
        <v>0</v>
      </c>
      <c r="Y55" s="4">
        <v>0</v>
      </c>
      <c r="Z55" s="88"/>
      <c r="AA55" s="9">
        <f>IFERROR(60/Production[[#This Row],[Production in 1h]],0)</f>
        <v>0</v>
      </c>
      <c r="AB55" s="9">
        <f>IFERROR(Production[[#This Row],[Qty Produced per Timer cycle]]*60/Production[[#This Row],[Timer]],0)</f>
        <v>0</v>
      </c>
      <c r="AC55" s="9">
        <f>IFERROR(IF(ISBLANK(Production[[#This Row],[Consumption Multiplier override]]),Production[[#This Row],[Production in 1h]]/Production[[#This Row],[Qty Produced per Timer cycle]],Production[[#This Row],[Consumption Multiplier override]]),0)</f>
        <v>0</v>
      </c>
      <c r="AD55" s="4"/>
      <c r="AE55" s="87"/>
      <c r="AJ55">
        <v>45</v>
      </c>
      <c r="AK55" s="55" t="s">
        <v>59</v>
      </c>
      <c r="AL55" s="55" t="s">
        <v>374</v>
      </c>
      <c r="AM55" s="55" t="s">
        <v>324</v>
      </c>
      <c r="AN55" s="22">
        <f>1/30600</f>
        <v>3.2679738562091506E-5</v>
      </c>
      <c r="AO55" s="92">
        <f>IF(ISBLANK(Consumption[[#This Row],[Building]]),0,(1/30000)*3600)</f>
        <v>0.12000000000000001</v>
      </c>
      <c r="AP55" s="22">
        <f>1/1000000</f>
        <v>9.9999999999999995E-7</v>
      </c>
      <c r="AQ55" s="20">
        <f>IF(ISBLANK(Consumption[[#This Row],[Building]]),0,Consumption[[#This Row],[Production per resident per second]]*3600)</f>
        <v>3.5999999999999999E-3</v>
      </c>
      <c r="AR55" s="59" t="str">
        <f>Consumption[[#This Row],[Building]]&amp;" - "&amp;Consumption[[#This Row],[Resource]]</f>
        <v>Paragon's Residence - Goblet</v>
      </c>
    </row>
    <row r="56" spans="1:44" x14ac:dyDescent="0.45">
      <c r="A56">
        <v>85</v>
      </c>
      <c r="B56" t="s">
        <v>508</v>
      </c>
      <c r="D56" t="s">
        <v>51</v>
      </c>
      <c r="E56">
        <v>1</v>
      </c>
      <c r="G56" s="8"/>
      <c r="X56" s="4">
        <v>0</v>
      </c>
      <c r="Y56" s="4">
        <v>0</v>
      </c>
      <c r="Z56" s="88"/>
      <c r="AA56" s="9">
        <f>IFERROR(60/Production[[#This Row],[Production in 1h]],0)</f>
        <v>0</v>
      </c>
      <c r="AB56" s="9">
        <f>IFERROR(Production[[#This Row],[Qty Produced per Timer cycle]]*60/Production[[#This Row],[Timer]],0)</f>
        <v>0</v>
      </c>
      <c r="AC56" s="9">
        <f>IFERROR(IF(ISBLANK(Production[[#This Row],[Consumption Multiplier override]]),Production[[#This Row],[Production in 1h]]/Production[[#This Row],[Qty Produced per Timer cycle]],Production[[#This Row],[Consumption Multiplier override]]),0)</f>
        <v>0</v>
      </c>
      <c r="AD56" s="4"/>
      <c r="AE56" s="87"/>
      <c r="AJ56" s="52">
        <v>46</v>
      </c>
      <c r="AK56" s="55" t="s">
        <v>59</v>
      </c>
      <c r="AL56" s="55" t="s">
        <v>660</v>
      </c>
      <c r="AM56" s="55" t="s">
        <v>324</v>
      </c>
      <c r="AN56" s="22">
        <f>1/20400</f>
        <v>4.9019607843137253E-5</v>
      </c>
      <c r="AO56" s="92">
        <f>IF(ISBLANK(Consumption[[#This Row],[Building]]),0,(1/20000)*3600)</f>
        <v>0.18000000000000002</v>
      </c>
      <c r="AP56" s="22">
        <f>1/1000000</f>
        <v>9.9999999999999995E-7</v>
      </c>
      <c r="AQ56" s="20">
        <f>IF(ISBLANK(Consumption[[#This Row],[Building]]),0,Consumption[[#This Row],[Production per resident per second]]*3600)</f>
        <v>3.5999999999999999E-3</v>
      </c>
      <c r="AR56" s="59" t="str">
        <f>Consumption[[#This Row],[Building]]&amp;" - "&amp;Consumption[[#This Row],[Resource]]</f>
        <v>Paragon's Residence - Candle Holder</v>
      </c>
    </row>
    <row r="57" spans="1:44" x14ac:dyDescent="0.45">
      <c r="A57">
        <v>111</v>
      </c>
      <c r="B57" t="s">
        <v>649</v>
      </c>
      <c r="D57" t="s">
        <v>51</v>
      </c>
      <c r="E57" s="96">
        <v>1</v>
      </c>
      <c r="G57" s="8"/>
      <c r="X57" s="4">
        <v>0</v>
      </c>
      <c r="Y57" s="4">
        <v>0</v>
      </c>
      <c r="Z57" s="88"/>
      <c r="AA57" s="9">
        <f>IFERROR(60/Production[[#This Row],[Production in 1h]],0)</f>
        <v>0</v>
      </c>
      <c r="AB57" s="9">
        <f>IFERROR(Production[[#This Row],[Qty Produced per Timer cycle]]*60/Production[[#This Row],[Timer]],0)</f>
        <v>0</v>
      </c>
      <c r="AC57" s="9">
        <f>IFERROR(IF(ISBLANK(Production[[#This Row],[Consumption Multiplier override]]),Production[[#This Row],[Production in 1h]]/Production[[#This Row],[Qty Produced per Timer cycle]],Production[[#This Row],[Consumption Multiplier override]]),0)</f>
        <v>0</v>
      </c>
      <c r="AD57" s="4"/>
      <c r="AE57" s="87" t="s">
        <v>650</v>
      </c>
      <c r="AF57" s="8"/>
      <c r="AG57" s="8"/>
      <c r="AH57" s="8"/>
      <c r="AJ57">
        <v>47</v>
      </c>
      <c r="AK57" s="55" t="s">
        <v>59</v>
      </c>
      <c r="AL57" s="55" t="s">
        <v>379</v>
      </c>
      <c r="AM57" s="55" t="s">
        <v>324</v>
      </c>
      <c r="AN57" s="22">
        <f>1/10200</f>
        <v>9.8039215686274506E-5</v>
      </c>
      <c r="AO57" s="92">
        <f>IF(ISBLANK(Consumption[[#This Row],[Building]]),0,(1/10000)*3600)</f>
        <v>0.36000000000000004</v>
      </c>
      <c r="AP57" s="22">
        <f>1/1000000</f>
        <v>9.9999999999999995E-7</v>
      </c>
      <c r="AQ57" s="20">
        <f>IF(ISBLANK(Consumption[[#This Row],[Building]]),0,Consumption[[#This Row],[Production per resident per second]]*3600)</f>
        <v>3.5999999999999999E-3</v>
      </c>
      <c r="AR57" s="59" t="str">
        <f>Consumption[[#This Row],[Building]]&amp;" - "&amp;Consumption[[#This Row],[Resource]]</f>
        <v>Paragon's Residence - Feast</v>
      </c>
    </row>
    <row r="58" spans="1:44" x14ac:dyDescent="0.45">
      <c r="A58">
        <v>109</v>
      </c>
      <c r="B58" t="s">
        <v>420</v>
      </c>
      <c r="C58" t="s">
        <v>421</v>
      </c>
      <c r="D58" t="s">
        <v>53</v>
      </c>
      <c r="E58">
        <v>1</v>
      </c>
      <c r="X58" s="4">
        <v>3</v>
      </c>
      <c r="Y58" s="4">
        <v>1</v>
      </c>
      <c r="Z58" s="88" t="s">
        <v>373</v>
      </c>
      <c r="AA58" s="9">
        <f>IFERROR(60/Production[[#This Row],[Production in 1h]],0)</f>
        <v>3</v>
      </c>
      <c r="AB58" s="9">
        <f>IFERROR(Production[[#This Row],[Qty Produced per Timer cycle]]*60/Production[[#This Row],[Timer]],0)</f>
        <v>20</v>
      </c>
      <c r="AC58" s="9">
        <f>IFERROR(IF(ISBLANK(Production[[#This Row],[Consumption Multiplier override]]),Production[[#This Row],[Production in 1h]]/Production[[#This Row],[Qty Produced per Timer cycle]],Production[[#This Row],[Consumption Multiplier override]]),0)</f>
        <v>1</v>
      </c>
      <c r="AD58" s="4">
        <v>1</v>
      </c>
      <c r="AE58" s="8"/>
      <c r="AJ58" s="52">
        <v>48</v>
      </c>
      <c r="AK58" s="55" t="s">
        <v>59</v>
      </c>
      <c r="AL58" s="55" t="s">
        <v>382</v>
      </c>
      <c r="AM58" s="55" t="s">
        <v>324</v>
      </c>
      <c r="AN58" s="22">
        <f>1/13600</f>
        <v>7.3529411764705876E-5</v>
      </c>
      <c r="AO58" s="92">
        <f>IF(ISBLANK(Consumption[[#This Row],[Building]]),0,(1/13500)*3600)</f>
        <v>0.26666666666666666</v>
      </c>
      <c r="AP58" s="22">
        <f>1/1000000</f>
        <v>9.9999999999999995E-7</v>
      </c>
      <c r="AQ58" s="20">
        <f>IF(ISBLANK(Consumption[[#This Row],[Building]]),0,Consumption[[#This Row],[Production per resident per second]]*3600)</f>
        <v>3.5999999999999999E-3</v>
      </c>
      <c r="AR58" s="59" t="str">
        <f>Consumption[[#This Row],[Building]]&amp;" - "&amp;Consumption[[#This Row],[Resource]]</f>
        <v>Paragon's Residence - Wine</v>
      </c>
    </row>
    <row r="59" spans="1:44" x14ac:dyDescent="0.45">
      <c r="A59">
        <v>110</v>
      </c>
      <c r="B59" t="s">
        <v>424</v>
      </c>
      <c r="C59" t="s">
        <v>374</v>
      </c>
      <c r="D59" t="s">
        <v>51</v>
      </c>
      <c r="E59">
        <v>1</v>
      </c>
      <c r="F59" t="s">
        <v>171</v>
      </c>
      <c r="G59">
        <v>1</v>
      </c>
      <c r="H59" t="s">
        <v>421</v>
      </c>
      <c r="I59">
        <v>1</v>
      </c>
      <c r="X59" s="4">
        <v>8</v>
      </c>
      <c r="Y59" s="4">
        <v>2</v>
      </c>
      <c r="Z59" s="88"/>
      <c r="AA59" s="9">
        <f>IFERROR(60/Production[[#This Row],[Production in 1h]],0)</f>
        <v>4</v>
      </c>
      <c r="AB59" s="9">
        <f>IFERROR(Production[[#This Row],[Qty Produced per Timer cycle]]*60/Production[[#This Row],[Timer]],0)</f>
        <v>15</v>
      </c>
      <c r="AC59" s="9">
        <f>IFERROR(IF(ISBLANK(Production[[#This Row],[Consumption Multiplier override]]),Production[[#This Row],[Production in 1h]]/Production[[#This Row],[Qty Produced per Timer cycle]],Production[[#This Row],[Consumption Multiplier override]]),0)</f>
        <v>7.5</v>
      </c>
      <c r="AD59" s="4"/>
      <c r="AE59" s="8" t="s">
        <v>447</v>
      </c>
      <c r="AJ59">
        <v>49</v>
      </c>
      <c r="AK59" s="55" t="s">
        <v>59</v>
      </c>
      <c r="AL59" s="55" t="s">
        <v>465</v>
      </c>
      <c r="AM59" s="55" t="s">
        <v>324</v>
      </c>
      <c r="AN59" s="22">
        <v>0</v>
      </c>
      <c r="AO59" s="110">
        <v>0</v>
      </c>
      <c r="AP59" s="22">
        <f>1/2000000</f>
        <v>4.9999999999999998E-7</v>
      </c>
      <c r="AQ59" s="58">
        <f>IF(ISBLANK(Consumption[[#This Row],[Building]]),0,Consumption[[#This Row],[Production per resident per second]]*3600)</f>
        <v>1.8E-3</v>
      </c>
      <c r="AR59" s="59" t="str">
        <f>Consumption[[#This Row],[Building]]&amp;" - "&amp;Consumption[[#This Row],[Resource]]</f>
        <v>Paragon's Residence - Entertainment</v>
      </c>
    </row>
    <row r="60" spans="1:44" x14ac:dyDescent="0.45">
      <c r="A60">
        <v>92</v>
      </c>
      <c r="B60" t="s">
        <v>168</v>
      </c>
      <c r="C60" t="s">
        <v>169</v>
      </c>
      <c r="D60" t="s">
        <v>53</v>
      </c>
      <c r="E60">
        <v>1</v>
      </c>
      <c r="X60" s="4">
        <v>4</v>
      </c>
      <c r="Y60" s="4">
        <v>1</v>
      </c>
      <c r="Z60" s="88" t="s">
        <v>61</v>
      </c>
      <c r="AA60" s="9">
        <f>IFERROR(60/Production[[#This Row],[Production in 1h]],0)</f>
        <v>4</v>
      </c>
      <c r="AB60" s="9">
        <f>IFERROR(Production[[#This Row],[Qty Produced per Timer cycle]]*60/Production[[#This Row],[Timer]],0)</f>
        <v>15</v>
      </c>
      <c r="AC60" s="9">
        <f>IFERROR(IF(ISBLANK(Production[[#This Row],[Consumption Multiplier override]]),Production[[#This Row],[Production in 1h]]/Production[[#This Row],[Qty Produced per Timer cycle]],Production[[#This Row],[Consumption Multiplier override]]),0)</f>
        <v>15</v>
      </c>
      <c r="AD60" s="4"/>
      <c r="AE60" s="8"/>
      <c r="AJ60" s="52">
        <v>50</v>
      </c>
      <c r="AK60" s="55" t="s">
        <v>59</v>
      </c>
      <c r="AL60" s="55" t="s">
        <v>652</v>
      </c>
      <c r="AM60" s="55" t="s">
        <v>324</v>
      </c>
      <c r="AN60" s="22">
        <v>0</v>
      </c>
      <c r="AO60" s="110">
        <v>0</v>
      </c>
      <c r="AP60" s="22">
        <f>1/2000000</f>
        <v>4.9999999999999998E-7</v>
      </c>
      <c r="AQ60" s="58">
        <f>IF(ISBLANK(Consumption[[#This Row],[Building]]),0,Consumption[[#This Row],[Production per resident per second]]*3600)</f>
        <v>1.8E-3</v>
      </c>
      <c r="AR60" s="59" t="str">
        <f>Consumption[[#This Row],[Building]]&amp;" - "&amp;Consumption[[#This Row],[Resource]]</f>
        <v>Paragon's Residence - Gambling</v>
      </c>
    </row>
    <row r="61" spans="1:44" x14ac:dyDescent="0.45">
      <c r="A61">
        <v>93</v>
      </c>
      <c r="B61" t="s">
        <v>170</v>
      </c>
      <c r="C61" t="s">
        <v>171</v>
      </c>
      <c r="D61" t="s">
        <v>51</v>
      </c>
      <c r="E61">
        <v>1</v>
      </c>
      <c r="F61" t="s">
        <v>120</v>
      </c>
      <c r="G61">
        <v>1</v>
      </c>
      <c r="H61" t="s">
        <v>169</v>
      </c>
      <c r="I61">
        <v>2</v>
      </c>
      <c r="X61" s="4">
        <v>16</v>
      </c>
      <c r="Y61" s="4">
        <v>2</v>
      </c>
      <c r="Z61" s="88"/>
      <c r="AA61" s="9">
        <f>IFERROR(60/Production[[#This Row],[Production in 1h]],0)</f>
        <v>8</v>
      </c>
      <c r="AB61" s="9">
        <f>IFERROR(Production[[#This Row],[Qty Produced per Timer cycle]]*60/Production[[#This Row],[Timer]],0)</f>
        <v>7.5</v>
      </c>
      <c r="AC61" s="9">
        <f>IFERROR(IF(ISBLANK(Production[[#This Row],[Consumption Multiplier override]]),Production[[#This Row],[Production in 1h]]/Production[[#This Row],[Qty Produced per Timer cycle]],Production[[#This Row],[Consumption Multiplier override]]),0)</f>
        <v>3.75</v>
      </c>
      <c r="AD61" s="4"/>
      <c r="AE61" s="8" t="s">
        <v>861</v>
      </c>
      <c r="AJ61">
        <v>51</v>
      </c>
      <c r="AK61" s="55" t="s">
        <v>59</v>
      </c>
      <c r="AL61" s="55" t="s">
        <v>464</v>
      </c>
      <c r="AM61" s="55" t="s">
        <v>324</v>
      </c>
      <c r="AN61" s="22">
        <v>0</v>
      </c>
      <c r="AO61" s="110">
        <v>0</v>
      </c>
      <c r="AP61" s="22">
        <f>1/2000000</f>
        <v>4.9999999999999998E-7</v>
      </c>
      <c r="AQ61" s="58">
        <f>IF(ISBLANK(Consumption[[#This Row],[Building]]),0,Consumption[[#This Row],[Production per resident per second]]*3600)</f>
        <v>1.8E-3</v>
      </c>
      <c r="AR61" s="59" t="str">
        <f>Consumption[[#This Row],[Building]]&amp;" - "&amp;Consumption[[#This Row],[Resource]]</f>
        <v>Paragon's Residence - University</v>
      </c>
    </row>
    <row r="62" spans="1:44" x14ac:dyDescent="0.45">
      <c r="A62">
        <v>94</v>
      </c>
      <c r="B62" t="s">
        <v>172</v>
      </c>
      <c r="C62" t="s">
        <v>173</v>
      </c>
      <c r="D62" t="s">
        <v>51</v>
      </c>
      <c r="E62">
        <v>1</v>
      </c>
      <c r="F62" t="s">
        <v>120</v>
      </c>
      <c r="G62">
        <v>1</v>
      </c>
      <c r="H62" t="s">
        <v>171</v>
      </c>
      <c r="I62">
        <v>2</v>
      </c>
      <c r="X62" s="4">
        <v>16</v>
      </c>
      <c r="Y62" s="4">
        <v>2</v>
      </c>
      <c r="Z62" s="88"/>
      <c r="AA62" s="9">
        <f>IFERROR(60/Production[[#This Row],[Production in 1h]],0)</f>
        <v>8</v>
      </c>
      <c r="AB62" s="9">
        <f>IFERROR(Production[[#This Row],[Qty Produced per Timer cycle]]*60/Production[[#This Row],[Timer]],0)</f>
        <v>7.5</v>
      </c>
      <c r="AC62" s="9">
        <f>IFERROR(IF(ISBLANK(Production[[#This Row],[Consumption Multiplier override]]),Production[[#This Row],[Production in 1h]]/Production[[#This Row],[Qty Produced per Timer cycle]],Production[[#This Row],[Consumption Multiplier override]]),0)</f>
        <v>3.75</v>
      </c>
      <c r="AD62" s="4"/>
      <c r="AE62" s="8" t="s">
        <v>862</v>
      </c>
      <c r="AF62" s="8"/>
      <c r="AG62" s="8"/>
      <c r="AH62" s="8"/>
    </row>
    <row r="63" spans="1:44" ht="28.5" x14ac:dyDescent="0.45">
      <c r="A63">
        <v>35</v>
      </c>
      <c r="B63" t="s">
        <v>399</v>
      </c>
      <c r="C63" t="s">
        <v>82</v>
      </c>
      <c r="D63" t="s">
        <v>51</v>
      </c>
      <c r="E63">
        <v>1</v>
      </c>
      <c r="F63" t="s">
        <v>86</v>
      </c>
      <c r="G63">
        <v>1000</v>
      </c>
      <c r="H63" t="s">
        <v>85</v>
      </c>
      <c r="I63">
        <v>600</v>
      </c>
      <c r="J63" t="s">
        <v>368</v>
      </c>
      <c r="K63">
        <v>200</v>
      </c>
      <c r="L63" t="s">
        <v>61</v>
      </c>
      <c r="M63">
        <v>6000</v>
      </c>
      <c r="X63" s="91">
        <f>MAX(1000/10,600/5,200/5)*4</f>
        <v>480</v>
      </c>
      <c r="Y63" s="4">
        <v>1</v>
      </c>
      <c r="Z63" s="88"/>
      <c r="AA63" s="9">
        <f>IFERROR(60/Production[[#This Row],[Production in 1h]],0)</f>
        <v>480</v>
      </c>
      <c r="AB63" s="95">
        <f>IFERROR(Production[[#This Row],[Qty Produced per Timer cycle]]*60/Production[[#This Row],[Timer]],0)</f>
        <v>0.125</v>
      </c>
      <c r="AC63" s="9">
        <f>IFERROR(IF(ISBLANK(Production[[#This Row],[Consumption Multiplier override]]),Production[[#This Row],[Production in 1h]]/Production[[#This Row],[Qty Produced per Timer cycle]],Production[[#This Row],[Consumption Multiplier override]]),0)</f>
        <v>0.125</v>
      </c>
      <c r="AD63" s="4"/>
      <c r="AE63" s="8" t="s">
        <v>494</v>
      </c>
    </row>
    <row r="64" spans="1:44" ht="28.5" x14ac:dyDescent="0.45">
      <c r="A64">
        <v>34</v>
      </c>
      <c r="B64" t="s">
        <v>398</v>
      </c>
      <c r="C64" t="s">
        <v>81</v>
      </c>
      <c r="D64" t="s">
        <v>51</v>
      </c>
      <c r="E64">
        <v>1</v>
      </c>
      <c r="F64" t="s">
        <v>86</v>
      </c>
      <c r="G64">
        <v>1000</v>
      </c>
      <c r="H64" t="s">
        <v>85</v>
      </c>
      <c r="I64">
        <v>200</v>
      </c>
      <c r="J64" t="s">
        <v>368</v>
      </c>
      <c r="K64">
        <v>200</v>
      </c>
      <c r="L64" t="s">
        <v>61</v>
      </c>
      <c r="M64">
        <v>4000</v>
      </c>
      <c r="X64" s="4">
        <f>MAX(1000/10,200/5,200/5)*4</f>
        <v>400</v>
      </c>
      <c r="Y64" s="4">
        <v>1</v>
      </c>
      <c r="Z64" s="88"/>
      <c r="AA64" s="9">
        <f>IFERROR(60/Production[[#This Row],[Production in 1h]],0)</f>
        <v>400</v>
      </c>
      <c r="AB64" s="95">
        <f>IFERROR(Production[[#This Row],[Qty Produced per Timer cycle]]*60/Production[[#This Row],[Timer]],0)</f>
        <v>0.15</v>
      </c>
      <c r="AC64" s="9">
        <f>IFERROR(IF(ISBLANK(Production[[#This Row],[Consumption Multiplier override]]),Production[[#This Row],[Production in 1h]]/Production[[#This Row],[Qty Produced per Timer cycle]],Production[[#This Row],[Consumption Multiplier override]]),0)</f>
        <v>0.15</v>
      </c>
      <c r="AD64" s="4"/>
      <c r="AE64" s="8" t="s">
        <v>494</v>
      </c>
      <c r="AR64" s="109"/>
    </row>
    <row r="65" spans="1:31" x14ac:dyDescent="0.45">
      <c r="A65">
        <v>139</v>
      </c>
      <c r="B65" t="s">
        <v>445</v>
      </c>
      <c r="C65" t="s">
        <v>391</v>
      </c>
      <c r="D65" t="s">
        <v>51</v>
      </c>
      <c r="E65">
        <v>1</v>
      </c>
      <c r="F65" t="s">
        <v>388</v>
      </c>
      <c r="G65">
        <v>2</v>
      </c>
      <c r="H65" t="s">
        <v>390</v>
      </c>
      <c r="I65">
        <v>2</v>
      </c>
      <c r="X65" s="4">
        <v>4</v>
      </c>
      <c r="Y65" s="4">
        <v>1</v>
      </c>
      <c r="Z65" s="88"/>
      <c r="AA65" s="9">
        <f>IFERROR(60/Production[[#This Row],[Production in 1h]],0)</f>
        <v>4</v>
      </c>
      <c r="AB65" s="9">
        <f>IFERROR(Production[[#This Row],[Qty Produced per Timer cycle]]*60/Production[[#This Row],[Timer]],0)</f>
        <v>15</v>
      </c>
      <c r="AC65" s="9">
        <f>IFERROR(IF(ISBLANK(Production[[#This Row],[Consumption Multiplier override]]),Production[[#This Row],[Production in 1h]]/Production[[#This Row],[Qty Produced per Timer cycle]],Production[[#This Row],[Consumption Multiplier override]]),0)</f>
        <v>15</v>
      </c>
      <c r="AD65" s="4"/>
      <c r="AE65" s="8" t="s">
        <v>461</v>
      </c>
    </row>
    <row r="66" spans="1:31" x14ac:dyDescent="0.45">
      <c r="A66">
        <v>74</v>
      </c>
      <c r="B66" t="s">
        <v>141</v>
      </c>
      <c r="C66" t="s">
        <v>140</v>
      </c>
      <c r="D66" t="s">
        <v>139</v>
      </c>
      <c r="E66">
        <v>8</v>
      </c>
      <c r="X66" s="4">
        <v>2</v>
      </c>
      <c r="Y66" s="4">
        <v>1</v>
      </c>
      <c r="Z66" s="88"/>
      <c r="AA66" s="9">
        <f>IFERROR(60/Production[[#This Row],[Production in 1h]],0)</f>
        <v>2</v>
      </c>
      <c r="AB66" s="9">
        <f>IFERROR(Production[[#This Row],[Qty Produced per Timer cycle]]*60/Production[[#This Row],[Timer]],0)</f>
        <v>30</v>
      </c>
      <c r="AC66" s="9">
        <f>IFERROR(IF(ISBLANK(Production[[#This Row],[Consumption Multiplier override]]),Production[[#This Row],[Production in 1h]]/Production[[#This Row],[Qty Produced per Timer cycle]],Production[[#This Row],[Consumption Multiplier override]]),0)</f>
        <v>1</v>
      </c>
      <c r="AD66" s="4">
        <v>1</v>
      </c>
      <c r="AE66" s="8"/>
    </row>
    <row r="67" spans="1:31" x14ac:dyDescent="0.45">
      <c r="A67">
        <v>72</v>
      </c>
      <c r="B67" t="s">
        <v>875</v>
      </c>
      <c r="C67" t="s">
        <v>140</v>
      </c>
      <c r="D67" t="s">
        <v>51</v>
      </c>
      <c r="E67">
        <v>1</v>
      </c>
      <c r="X67" s="4">
        <v>16</v>
      </c>
      <c r="Y67" s="4">
        <v>1</v>
      </c>
      <c r="Z67" s="88" t="s">
        <v>140</v>
      </c>
      <c r="AA67" s="9">
        <f>IFERROR(60/Production[[#This Row],[Production in 1h]],0)</f>
        <v>16</v>
      </c>
      <c r="AB67" s="9">
        <f>IFERROR(Production[[#This Row],[Qty Produced per Timer cycle]]*60/Production[[#This Row],[Timer]],0)</f>
        <v>3.75</v>
      </c>
      <c r="AC67" s="9">
        <f>IFERROR(IF(ISBLANK(Production[[#This Row],[Consumption Multiplier override]]),Production[[#This Row],[Production in 1h]]/Production[[#This Row],[Qty Produced per Timer cycle]],Production[[#This Row],[Consumption Multiplier override]]),0)</f>
        <v>1</v>
      </c>
      <c r="AD67" s="4">
        <v>1</v>
      </c>
      <c r="AE67" s="8"/>
    </row>
    <row r="68" spans="1:31" x14ac:dyDescent="0.45">
      <c r="A68">
        <v>73</v>
      </c>
      <c r="B68" t="s">
        <v>139</v>
      </c>
      <c r="C68" t="s">
        <v>139</v>
      </c>
      <c r="D68" t="s">
        <v>51</v>
      </c>
      <c r="E68">
        <v>1</v>
      </c>
      <c r="X68" s="4">
        <v>60</v>
      </c>
      <c r="Y68" s="4">
        <v>1</v>
      </c>
      <c r="Z68" s="88" t="s">
        <v>140</v>
      </c>
      <c r="AA68" s="9">
        <f>IFERROR(60/Production[[#This Row],[Production in 1h]],0)</f>
        <v>60</v>
      </c>
      <c r="AB68" s="9">
        <f>IFERROR(Production[[#This Row],[Qty Produced per Timer cycle]]*60/Production[[#This Row],[Timer]],0)</f>
        <v>1</v>
      </c>
      <c r="AC68" s="9">
        <f>IFERROR(IF(ISBLANK(Production[[#This Row],[Consumption Multiplier override]]),Production[[#This Row],[Production in 1h]]/Production[[#This Row],[Qty Produced per Timer cycle]],Production[[#This Row],[Consumption Multiplier override]]),0)</f>
        <v>1</v>
      </c>
      <c r="AD68" s="4">
        <v>1</v>
      </c>
      <c r="AE68" s="8"/>
    </row>
    <row r="69" spans="1:31" x14ac:dyDescent="0.45">
      <c r="A69">
        <v>54</v>
      </c>
      <c r="B69" t="s">
        <v>876</v>
      </c>
      <c r="C69" t="s">
        <v>110</v>
      </c>
      <c r="D69" t="s">
        <v>51</v>
      </c>
      <c r="E69">
        <v>1</v>
      </c>
      <c r="F69" t="s">
        <v>511</v>
      </c>
      <c r="G69">
        <v>20</v>
      </c>
      <c r="X69" s="4">
        <v>6</v>
      </c>
      <c r="Y69" s="4">
        <v>1</v>
      </c>
      <c r="Z69" s="88"/>
      <c r="AA69" s="9">
        <f>IFERROR(60/Production[[#This Row],[Production in 1h]],0)</f>
        <v>6</v>
      </c>
      <c r="AB69" s="9">
        <f>IFERROR(Production[[#This Row],[Qty Produced per Timer cycle]]*60/Production[[#This Row],[Timer]],0)</f>
        <v>10</v>
      </c>
      <c r="AC69" s="9">
        <f>IFERROR(IF(ISBLANK(Production[[#This Row],[Consumption Multiplier override]]),Production[[#This Row],[Production in 1h]]/Production[[#This Row],[Qty Produced per Timer cycle]],Production[[#This Row],[Consumption Multiplier override]]),0)</f>
        <v>1</v>
      </c>
      <c r="AD69" s="4">
        <v>1</v>
      </c>
      <c r="AE69" s="8"/>
    </row>
    <row r="70" spans="1:31" ht="28.5" x14ac:dyDescent="0.45">
      <c r="A70">
        <v>53</v>
      </c>
      <c r="B70" t="s">
        <v>511</v>
      </c>
      <c r="C70" t="s">
        <v>511</v>
      </c>
      <c r="D70" t="s">
        <v>51</v>
      </c>
      <c r="E70" s="96">
        <v>1</v>
      </c>
      <c r="G70" s="8"/>
      <c r="X70" s="4">
        <v>60</v>
      </c>
      <c r="Y70" s="4">
        <v>1</v>
      </c>
      <c r="Z70" s="88"/>
      <c r="AA70" s="9">
        <f>IFERROR(60/Production[[#This Row],[Production in 1h]],0)</f>
        <v>60</v>
      </c>
      <c r="AB70" s="9">
        <f>IFERROR(Production[[#This Row],[Qty Produced per Timer cycle]]*60/Production[[#This Row],[Timer]],0)</f>
        <v>1</v>
      </c>
      <c r="AC70" s="9">
        <f>IFERROR(IF(ISBLANK(Production[[#This Row],[Consumption Multiplier override]]),Production[[#This Row],[Production in 1h]]/Production[[#This Row],[Qty Produced per Timer cycle]],Production[[#This Row],[Consumption Multiplier override]]),0)</f>
        <v>1</v>
      </c>
      <c r="AD70" s="4"/>
      <c r="AE70" s="87" t="s">
        <v>891</v>
      </c>
    </row>
    <row r="71" spans="1:31" x14ac:dyDescent="0.45">
      <c r="A71">
        <v>105</v>
      </c>
      <c r="B71" t="s">
        <v>877</v>
      </c>
      <c r="C71" t="s">
        <v>371</v>
      </c>
      <c r="D71" t="s">
        <v>51</v>
      </c>
      <c r="E71">
        <v>1</v>
      </c>
      <c r="X71" s="4">
        <v>16</v>
      </c>
      <c r="Y71" s="4">
        <v>1</v>
      </c>
      <c r="Z71" s="88" t="s">
        <v>371</v>
      </c>
      <c r="AA71" s="9">
        <f>IFERROR(60/Production[[#This Row],[Production in 1h]],0)</f>
        <v>16</v>
      </c>
      <c r="AB71" s="9">
        <f>IFERROR(Production[[#This Row],[Qty Produced per Timer cycle]]*60/Production[[#This Row],[Timer]],0)</f>
        <v>3.75</v>
      </c>
      <c r="AC71" s="9">
        <f>IFERROR(IF(ISBLANK(Production[[#This Row],[Consumption Multiplier override]]),Production[[#This Row],[Production in 1h]]/Production[[#This Row],[Qty Produced per Timer cycle]],Production[[#This Row],[Consumption Multiplier override]]),0)</f>
        <v>1</v>
      </c>
      <c r="AD71" s="4">
        <v>1</v>
      </c>
      <c r="AE71" s="8"/>
    </row>
    <row r="72" spans="1:31" x14ac:dyDescent="0.45">
      <c r="A72">
        <v>106</v>
      </c>
      <c r="B72" t="s">
        <v>648</v>
      </c>
      <c r="C72" t="s">
        <v>648</v>
      </c>
      <c r="D72" t="s">
        <v>51</v>
      </c>
      <c r="E72">
        <v>1</v>
      </c>
      <c r="X72" s="4">
        <v>60</v>
      </c>
      <c r="Y72" s="4">
        <v>1</v>
      </c>
      <c r="Z72" s="88" t="s">
        <v>371</v>
      </c>
      <c r="AA72" s="9">
        <f>IFERROR(60/Production[[#This Row],[Production in 1h]],0)</f>
        <v>60</v>
      </c>
      <c r="AB72" s="9">
        <f>IFERROR(Production[[#This Row],[Qty Produced per Timer cycle]]*60/Production[[#This Row],[Timer]],0)</f>
        <v>1</v>
      </c>
      <c r="AC72" s="9">
        <f>IFERROR(IF(ISBLANK(Production[[#This Row],[Consumption Multiplier override]]),Production[[#This Row],[Production in 1h]]/Production[[#This Row],[Qty Produced per Timer cycle]],Production[[#This Row],[Consumption Multiplier override]]),0)</f>
        <v>1</v>
      </c>
      <c r="AD72" s="4">
        <v>1</v>
      </c>
      <c r="AE72" s="8"/>
    </row>
    <row r="73" spans="1:31" x14ac:dyDescent="0.45">
      <c r="A73">
        <v>107</v>
      </c>
      <c r="B73" t="s">
        <v>417</v>
      </c>
      <c r="C73" t="s">
        <v>371</v>
      </c>
      <c r="D73" t="s">
        <v>51</v>
      </c>
      <c r="E73">
        <v>1</v>
      </c>
      <c r="F73" t="s">
        <v>648</v>
      </c>
      <c r="G73">
        <v>8</v>
      </c>
      <c r="X73" s="4">
        <v>2</v>
      </c>
      <c r="Y73" s="4">
        <v>1</v>
      </c>
      <c r="Z73" s="88"/>
      <c r="AA73" s="9">
        <f>IFERROR(60/Production[[#This Row],[Production in 1h]],0)</f>
        <v>2</v>
      </c>
      <c r="AB73" s="9">
        <f>IFERROR(Production[[#This Row],[Qty Produced per Timer cycle]]*60/Production[[#This Row],[Timer]],0)</f>
        <v>30</v>
      </c>
      <c r="AC73" s="9">
        <f>IFERROR(IF(ISBLANK(Production[[#This Row],[Consumption Multiplier override]]),Production[[#This Row],[Production in 1h]]/Production[[#This Row],[Qty Produced per Timer cycle]],Production[[#This Row],[Consumption Multiplier override]]),0)</f>
        <v>1</v>
      </c>
      <c r="AD73" s="4">
        <v>1</v>
      </c>
      <c r="AE73" s="8"/>
    </row>
    <row r="74" spans="1:31" x14ac:dyDescent="0.45">
      <c r="A74">
        <v>83</v>
      </c>
      <c r="B74" t="s">
        <v>158</v>
      </c>
      <c r="C74" t="s">
        <v>159</v>
      </c>
      <c r="D74" t="s">
        <v>51</v>
      </c>
      <c r="E74">
        <v>1</v>
      </c>
      <c r="F74" t="s">
        <v>120</v>
      </c>
      <c r="G74">
        <v>1</v>
      </c>
      <c r="H74" t="s">
        <v>156</v>
      </c>
      <c r="I74">
        <v>2</v>
      </c>
      <c r="X74" s="4">
        <v>16</v>
      </c>
      <c r="Y74" s="4">
        <v>2</v>
      </c>
      <c r="Z74" s="88"/>
      <c r="AA74" s="9">
        <f>IFERROR(60/Production[[#This Row],[Production in 1h]],0)</f>
        <v>8</v>
      </c>
      <c r="AB74" s="9">
        <f>IFERROR(Production[[#This Row],[Qty Produced per Timer cycle]]*60/Production[[#This Row],[Timer]],0)</f>
        <v>7.5</v>
      </c>
      <c r="AC74" s="9">
        <f>IFERROR(IF(ISBLANK(Production[[#This Row],[Consumption Multiplier override]]),Production[[#This Row],[Production in 1h]]/Production[[#This Row],[Qty Produced per Timer cycle]],Production[[#This Row],[Consumption Multiplier override]]),0)</f>
        <v>3.75</v>
      </c>
      <c r="AD74" s="4"/>
      <c r="AE74" s="8" t="s">
        <v>863</v>
      </c>
    </row>
    <row r="75" spans="1:31" x14ac:dyDescent="0.45">
      <c r="A75">
        <v>79</v>
      </c>
      <c r="B75" t="s">
        <v>153</v>
      </c>
      <c r="C75" t="s">
        <v>154</v>
      </c>
      <c r="D75" t="s">
        <v>53</v>
      </c>
      <c r="E75">
        <v>1</v>
      </c>
      <c r="X75" s="4">
        <v>4</v>
      </c>
      <c r="Y75" s="4">
        <v>1</v>
      </c>
      <c r="Z75" s="88" t="s">
        <v>514</v>
      </c>
      <c r="AA75" s="9">
        <f>IFERROR(60/Production[[#This Row],[Production in 1h]],0)</f>
        <v>4</v>
      </c>
      <c r="AB75" s="9">
        <f>IFERROR(Production[[#This Row],[Qty Produced per Timer cycle]]*60/Production[[#This Row],[Timer]],0)</f>
        <v>15</v>
      </c>
      <c r="AC75" s="9">
        <f>IFERROR(IF(ISBLANK(Production[[#This Row],[Consumption Multiplier override]]),Production[[#This Row],[Production in 1h]]/Production[[#This Row],[Qty Produced per Timer cycle]],Production[[#This Row],[Consumption Multiplier override]]),0)</f>
        <v>15</v>
      </c>
      <c r="AD75" s="4"/>
      <c r="AE75" s="8"/>
    </row>
    <row r="76" spans="1:31" x14ac:dyDescent="0.45">
      <c r="A76">
        <v>81</v>
      </c>
      <c r="B76" t="s">
        <v>155</v>
      </c>
      <c r="C76" t="s">
        <v>156</v>
      </c>
      <c r="D76" t="s">
        <v>51</v>
      </c>
      <c r="E76">
        <v>1</v>
      </c>
      <c r="F76" t="s">
        <v>120</v>
      </c>
      <c r="G76">
        <v>1</v>
      </c>
      <c r="H76" t="s">
        <v>154</v>
      </c>
      <c r="I76">
        <v>2</v>
      </c>
      <c r="X76" s="4">
        <v>16</v>
      </c>
      <c r="Y76" s="4">
        <v>2</v>
      </c>
      <c r="Z76" s="88"/>
      <c r="AA76" s="9">
        <f>IFERROR(60/Production[[#This Row],[Production in 1h]],0)</f>
        <v>8</v>
      </c>
      <c r="AB76" s="9">
        <f>IFERROR(Production[[#This Row],[Qty Produced per Timer cycle]]*60/Production[[#This Row],[Timer]],0)</f>
        <v>7.5</v>
      </c>
      <c r="AC76" s="9">
        <f>IFERROR(IF(ISBLANK(Production[[#This Row],[Consumption Multiplier override]]),Production[[#This Row],[Production in 1h]]/Production[[#This Row],[Qty Produced per Timer cycle]],Production[[#This Row],[Consumption Multiplier override]]),0)</f>
        <v>3.75</v>
      </c>
      <c r="AD76" s="4"/>
      <c r="AE76" s="8" t="s">
        <v>864</v>
      </c>
    </row>
    <row r="77" spans="1:31" x14ac:dyDescent="0.45">
      <c r="A77">
        <v>84</v>
      </c>
      <c r="B77" t="s">
        <v>160</v>
      </c>
      <c r="C77" t="s">
        <v>16</v>
      </c>
      <c r="D77" t="s">
        <v>51</v>
      </c>
      <c r="E77">
        <v>1</v>
      </c>
      <c r="F77" t="s">
        <v>61</v>
      </c>
      <c r="G77">
        <v>4</v>
      </c>
      <c r="H77" t="s">
        <v>159</v>
      </c>
      <c r="I77">
        <v>1</v>
      </c>
      <c r="J77" t="s">
        <v>9</v>
      </c>
      <c r="K77">
        <v>1</v>
      </c>
      <c r="X77" s="4">
        <v>10</v>
      </c>
      <c r="Y77" s="4">
        <v>1</v>
      </c>
      <c r="Z77" s="88"/>
      <c r="AA77" s="9">
        <f>IFERROR(60/Production[[#This Row],[Production in 1h]],0)</f>
        <v>10</v>
      </c>
      <c r="AB77" s="9">
        <f>IFERROR(Production[[#This Row],[Qty Produced per Timer cycle]]*60/Production[[#This Row],[Timer]],0)</f>
        <v>6</v>
      </c>
      <c r="AC77" s="9">
        <f>IFERROR(IF(ISBLANK(Production[[#This Row],[Consumption Multiplier override]]),Production[[#This Row],[Production in 1h]]/Production[[#This Row],[Qty Produced per Timer cycle]],Production[[#This Row],[Consumption Multiplier override]]),0)</f>
        <v>6</v>
      </c>
      <c r="AD77" s="4"/>
      <c r="AE77" s="8" t="s">
        <v>161</v>
      </c>
    </row>
    <row r="78" spans="1:31" x14ac:dyDescent="0.45">
      <c r="A78">
        <v>14</v>
      </c>
      <c r="B78" t="s">
        <v>502</v>
      </c>
      <c r="D78" t="s">
        <v>51</v>
      </c>
      <c r="E78" s="96">
        <v>1</v>
      </c>
      <c r="G78" s="8"/>
      <c r="X78" s="4">
        <v>0</v>
      </c>
      <c r="Y78" s="4">
        <v>0</v>
      </c>
      <c r="Z78" s="88"/>
      <c r="AA78" s="9">
        <f>IFERROR(60/Production[[#This Row],[Production in 1h]],0)</f>
        <v>0</v>
      </c>
      <c r="AB78" s="9">
        <f>IFERROR(Production[[#This Row],[Qty Produced per Timer cycle]]*60/Production[[#This Row],[Timer]],0)</f>
        <v>0</v>
      </c>
      <c r="AC78" s="9">
        <f>IFERROR(IF(ISBLANK(Production[[#This Row],[Consumption Multiplier override]]),Production[[#This Row],[Production in 1h]]/Production[[#This Row],[Qty Produced per Timer cycle]],Production[[#This Row],[Consumption Multiplier override]]),0)</f>
        <v>0</v>
      </c>
      <c r="AD78" s="4"/>
      <c r="AE78" s="87" t="s">
        <v>499</v>
      </c>
    </row>
    <row r="79" spans="1:31" ht="28.5" x14ac:dyDescent="0.45">
      <c r="A79">
        <v>1</v>
      </c>
      <c r="B79" s="8" t="s">
        <v>51</v>
      </c>
      <c r="C79" s="8" t="s">
        <v>51</v>
      </c>
      <c r="D79" s="8"/>
      <c r="E79" s="8"/>
      <c r="F79" s="8"/>
      <c r="G79" s="8"/>
      <c r="H79" s="8"/>
      <c r="I79" s="8"/>
      <c r="J79" s="8"/>
      <c r="K79" s="8"/>
      <c r="L79" s="8"/>
      <c r="M79" s="8"/>
      <c r="N79" s="8"/>
      <c r="O79" s="8"/>
      <c r="P79" s="8"/>
      <c r="Q79" s="8"/>
      <c r="R79" s="8"/>
      <c r="S79" s="8"/>
      <c r="T79" s="8"/>
      <c r="U79" s="8"/>
      <c r="V79" s="8"/>
      <c r="W79" s="8"/>
      <c r="X79" s="9">
        <v>60</v>
      </c>
      <c r="Y79" s="9">
        <f>1</f>
        <v>1</v>
      </c>
      <c r="Z79" s="87"/>
      <c r="AA79" s="9">
        <f>IFERROR(60/Production[[#This Row],[Production in 1h]],0)</f>
        <v>60</v>
      </c>
      <c r="AB79" s="9">
        <f>IFERROR(Production[[#This Row],[Qty Produced per Timer cycle]]*60/Production[[#This Row],[Timer]],0)</f>
        <v>1</v>
      </c>
      <c r="AC79" s="9">
        <f>IFERROR(IF(ISBLANK(Production[[#This Row],[Consumption Multiplier override]]),Production[[#This Row],[Production in 1h]]/Production[[#This Row],[Qty Produced per Timer cycle]],Production[[#This Row],[Consumption Multiplier override]]),0)</f>
        <v>1</v>
      </c>
      <c r="AD79" s="9"/>
      <c r="AE79" s="8" t="s">
        <v>338</v>
      </c>
    </row>
    <row r="80" spans="1:31" x14ac:dyDescent="0.45">
      <c r="A80">
        <v>26</v>
      </c>
      <c r="B80" t="s">
        <v>71</v>
      </c>
      <c r="C80" t="s">
        <v>72</v>
      </c>
      <c r="D80" t="s">
        <v>51</v>
      </c>
      <c r="E80">
        <v>1</v>
      </c>
      <c r="F80" t="s">
        <v>69</v>
      </c>
      <c r="G80">
        <v>2</v>
      </c>
      <c r="X80" s="4">
        <v>2</v>
      </c>
      <c r="Y80" s="4">
        <v>1</v>
      </c>
      <c r="Z80" s="88"/>
      <c r="AA80" s="9">
        <f>IFERROR(60/Production[[#This Row],[Production in 1h]],0)</f>
        <v>2</v>
      </c>
      <c r="AB80" s="9">
        <f>IFERROR(Production[[#This Row],[Qty Produced per Timer cycle]]*60/Production[[#This Row],[Timer]],0)</f>
        <v>30</v>
      </c>
      <c r="AC80" s="9">
        <f>IFERROR(IF(ISBLANK(Production[[#This Row],[Consumption Multiplier override]]),Production[[#This Row],[Production in 1h]]/Production[[#This Row],[Qty Produced per Timer cycle]],Production[[#This Row],[Consumption Multiplier override]]),0)</f>
        <v>30</v>
      </c>
      <c r="AD80" s="4"/>
      <c r="AE80" s="8" t="s">
        <v>96</v>
      </c>
    </row>
    <row r="81" spans="1:31" x14ac:dyDescent="0.45">
      <c r="A81">
        <v>25</v>
      </c>
      <c r="B81" t="s">
        <v>70</v>
      </c>
      <c r="C81" t="s">
        <v>69</v>
      </c>
      <c r="D81" t="s">
        <v>51</v>
      </c>
      <c r="E81">
        <v>1</v>
      </c>
      <c r="F81" t="s">
        <v>68</v>
      </c>
      <c r="G81">
        <v>8</v>
      </c>
      <c r="X81" s="4">
        <v>2</v>
      </c>
      <c r="Y81" s="4">
        <v>1</v>
      </c>
      <c r="Z81" s="88"/>
      <c r="AA81" s="9">
        <f>IFERROR(60/Production[[#This Row],[Production in 1h]],0)</f>
        <v>2</v>
      </c>
      <c r="AB81" s="9">
        <f>IFERROR(Production[[#This Row],[Qty Produced per Timer cycle]]*60/Production[[#This Row],[Timer]],0)</f>
        <v>30</v>
      </c>
      <c r="AC81" s="9">
        <f>IFERROR(IF(ISBLANK(Production[[#This Row],[Consumption Multiplier override]]),Production[[#This Row],[Production in 1h]]/Production[[#This Row],[Qty Produced per Timer cycle]],Production[[#This Row],[Consumption Multiplier override]]),0)</f>
        <v>1</v>
      </c>
      <c r="AD81" s="4">
        <v>1</v>
      </c>
      <c r="AE81" s="8"/>
    </row>
    <row r="82" spans="1:31" x14ac:dyDescent="0.45">
      <c r="A82">
        <v>23</v>
      </c>
      <c r="B82" t="s">
        <v>878</v>
      </c>
      <c r="C82" t="s">
        <v>69</v>
      </c>
      <c r="D82" t="s">
        <v>51</v>
      </c>
      <c r="E82">
        <v>1</v>
      </c>
      <c r="X82" s="4">
        <v>16</v>
      </c>
      <c r="Y82" s="4">
        <v>1</v>
      </c>
      <c r="Z82" s="88" t="s">
        <v>69</v>
      </c>
      <c r="AA82" s="9">
        <f>IFERROR(60/Production[[#This Row],[Production in 1h]],0)</f>
        <v>16</v>
      </c>
      <c r="AB82" s="9">
        <f>IFERROR(Production[[#This Row],[Qty Produced per Timer cycle]]*60/Production[[#This Row],[Timer]],0)</f>
        <v>3.75</v>
      </c>
      <c r="AC82" s="9">
        <f>IFERROR(IF(ISBLANK(Production[[#This Row],[Consumption Multiplier override]]),Production[[#This Row],[Production in 1h]]/Production[[#This Row],[Qty Produced per Timer cycle]],Production[[#This Row],[Consumption Multiplier override]]),0)</f>
        <v>3.75</v>
      </c>
      <c r="AD82" s="4"/>
      <c r="AE82" s="8"/>
    </row>
    <row r="83" spans="1:31" x14ac:dyDescent="0.45">
      <c r="A83">
        <v>24</v>
      </c>
      <c r="B83" t="s">
        <v>68</v>
      </c>
      <c r="C83" t="s">
        <v>68</v>
      </c>
      <c r="D83" t="s">
        <v>51</v>
      </c>
      <c r="E83">
        <v>1</v>
      </c>
      <c r="X83" s="4">
        <v>60</v>
      </c>
      <c r="Y83" s="4">
        <v>1</v>
      </c>
      <c r="Z83" s="88" t="s">
        <v>69</v>
      </c>
      <c r="AA83" s="9">
        <f>IFERROR(60/Production[[#This Row],[Production in 1h]],0)</f>
        <v>60</v>
      </c>
      <c r="AB83" s="9">
        <f>IFERROR(Production[[#This Row],[Qty Produced per Timer cycle]]*60/Production[[#This Row],[Timer]],0)</f>
        <v>1</v>
      </c>
      <c r="AC83" s="9">
        <f>IFERROR(IF(ISBLANK(Production[[#This Row],[Consumption Multiplier override]]),Production[[#This Row],[Production in 1h]]/Production[[#This Row],[Qty Produced per Timer cycle]],Production[[#This Row],[Consumption Multiplier override]]),0)</f>
        <v>1</v>
      </c>
      <c r="AD83" s="4"/>
      <c r="AE83" s="8"/>
    </row>
    <row r="84" spans="1:31" ht="28.5" x14ac:dyDescent="0.45">
      <c r="A84">
        <v>77</v>
      </c>
      <c r="B84" t="s">
        <v>148</v>
      </c>
      <c r="C84" t="s">
        <v>149</v>
      </c>
      <c r="D84" t="s">
        <v>51</v>
      </c>
      <c r="E84">
        <v>1</v>
      </c>
      <c r="F84" t="s">
        <v>69</v>
      </c>
      <c r="G84">
        <v>2</v>
      </c>
      <c r="X84" s="4">
        <v>3</v>
      </c>
      <c r="Y84" s="4">
        <v>1</v>
      </c>
      <c r="Z84" s="88"/>
      <c r="AA84" s="9">
        <f>IFERROR(60/Production[[#This Row],[Production in 1h]],0)</f>
        <v>3</v>
      </c>
      <c r="AB84" s="9">
        <f>IFERROR(Production[[#This Row],[Qty Produced per Timer cycle]]*60/Production[[#This Row],[Timer]],0)</f>
        <v>20</v>
      </c>
      <c r="AC84" s="9">
        <f>IFERROR(IF(ISBLANK(Production[[#This Row],[Consumption Multiplier override]]),Production[[#This Row],[Production in 1h]]/Production[[#This Row],[Qty Produced per Timer cycle]],Production[[#This Row],[Consumption Multiplier override]]),0)</f>
        <v>20</v>
      </c>
      <c r="AD84" s="4"/>
      <c r="AE84" s="8" t="s">
        <v>150</v>
      </c>
    </row>
    <row r="85" spans="1:31" x14ac:dyDescent="0.45">
      <c r="A85">
        <v>125</v>
      </c>
      <c r="B85" t="s">
        <v>433</v>
      </c>
      <c r="C85" t="s">
        <v>378</v>
      </c>
      <c r="D85" t="s">
        <v>51</v>
      </c>
      <c r="E85">
        <v>1</v>
      </c>
      <c r="X85" s="4">
        <f>2/3</f>
        <v>0.66666666666666663</v>
      </c>
      <c r="Y85" s="4">
        <v>1</v>
      </c>
      <c r="Z85" s="88" t="s">
        <v>434</v>
      </c>
      <c r="AA85" s="9">
        <f>IFERROR(60/Production[[#This Row],[Production in 1h]],0)</f>
        <v>0.66666666666666663</v>
      </c>
      <c r="AB85" s="9">
        <f>IFERROR(Production[[#This Row],[Qty Produced per Timer cycle]]*60/Production[[#This Row],[Timer]],0)</f>
        <v>90</v>
      </c>
      <c r="AC85" s="9">
        <f>IFERROR(IF(ISBLANK(Production[[#This Row],[Consumption Multiplier override]]),Production[[#This Row],[Production in 1h]]/Production[[#This Row],[Qty Produced per Timer cycle]],Production[[#This Row],[Consumption Multiplier override]]),0)</f>
        <v>1</v>
      </c>
      <c r="AD85" s="4">
        <v>1</v>
      </c>
      <c r="AE85" s="8" t="s">
        <v>655</v>
      </c>
    </row>
    <row r="86" spans="1:31" x14ac:dyDescent="0.45">
      <c r="A86">
        <v>65</v>
      </c>
      <c r="B86" t="s">
        <v>130</v>
      </c>
      <c r="C86" t="s">
        <v>15</v>
      </c>
      <c r="D86" t="s">
        <v>51</v>
      </c>
      <c r="E86">
        <v>1</v>
      </c>
      <c r="F86" t="s">
        <v>61</v>
      </c>
      <c r="G86">
        <v>2</v>
      </c>
      <c r="H86" t="s">
        <v>127</v>
      </c>
      <c r="I86">
        <v>1</v>
      </c>
      <c r="J86" t="s">
        <v>9</v>
      </c>
      <c r="K86">
        <v>1</v>
      </c>
      <c r="X86" s="4">
        <v>10</v>
      </c>
      <c r="Y86" s="4">
        <v>1</v>
      </c>
      <c r="Z86" s="88"/>
      <c r="AA86" s="9">
        <f>IFERROR(60/Production[[#This Row],[Production in 1h]],0)</f>
        <v>10</v>
      </c>
      <c r="AB86" s="9">
        <f>IFERROR(Production[[#This Row],[Qty Produced per Timer cycle]]*60/Production[[#This Row],[Timer]],0)</f>
        <v>6</v>
      </c>
      <c r="AC86" s="9">
        <f>IFERROR(IF(ISBLANK(Production[[#This Row],[Consumption Multiplier override]]),Production[[#This Row],[Production in 1h]]/Production[[#This Row],[Qty Produced per Timer cycle]],Production[[#This Row],[Consumption Multiplier override]]),0)</f>
        <v>6</v>
      </c>
      <c r="AD86" s="4"/>
      <c r="AE86" s="8" t="s">
        <v>134</v>
      </c>
    </row>
    <row r="87" spans="1:31" ht="28.5" x14ac:dyDescent="0.45">
      <c r="A87">
        <v>64</v>
      </c>
      <c r="B87" t="s">
        <v>126</v>
      </c>
      <c r="C87" t="s">
        <v>127</v>
      </c>
      <c r="D87" t="s">
        <v>51</v>
      </c>
      <c r="E87">
        <v>1</v>
      </c>
      <c r="F87" t="s">
        <v>69</v>
      </c>
      <c r="G87">
        <v>2</v>
      </c>
      <c r="H87" t="s">
        <v>49</v>
      </c>
      <c r="I87">
        <v>10</v>
      </c>
      <c r="X87" s="4">
        <v>2</v>
      </c>
      <c r="Y87" s="4">
        <v>1</v>
      </c>
      <c r="Z87" s="88"/>
      <c r="AA87" s="9">
        <f>IFERROR(60/Production[[#This Row],[Production in 1h]],0)</f>
        <v>2</v>
      </c>
      <c r="AB87" s="9">
        <f>IFERROR(Production[[#This Row],[Qty Produced per Timer cycle]]*60/Production[[#This Row],[Timer]],0)</f>
        <v>30</v>
      </c>
      <c r="AC87" s="9">
        <f>IFERROR(IF(ISBLANK(Production[[#This Row],[Consumption Multiplier override]]),Production[[#This Row],[Production in 1h]]/Production[[#This Row],[Qty Produced per Timer cycle]],Production[[#This Row],[Consumption Multiplier override]]),0)</f>
        <v>30</v>
      </c>
      <c r="AD87" s="4"/>
      <c r="AE87" s="8" t="s">
        <v>131</v>
      </c>
    </row>
    <row r="88" spans="1:31" ht="42.75" x14ac:dyDescent="0.45">
      <c r="A88">
        <v>10</v>
      </c>
      <c r="B88" s="8" t="s">
        <v>50</v>
      </c>
      <c r="C88" s="8" t="s">
        <v>49</v>
      </c>
      <c r="D88" s="8" t="s">
        <v>51</v>
      </c>
      <c r="E88" s="8">
        <v>7</v>
      </c>
      <c r="F88" s="8"/>
      <c r="G88" s="8"/>
      <c r="H88" s="8"/>
      <c r="I88" s="8"/>
      <c r="J88" s="8"/>
      <c r="K88" s="8"/>
      <c r="L88" s="8"/>
      <c r="M88" s="8"/>
      <c r="N88" s="8"/>
      <c r="O88" s="8"/>
      <c r="P88" s="8"/>
      <c r="Q88" s="8"/>
      <c r="R88" s="8"/>
      <c r="S88" s="8"/>
      <c r="T88" s="8"/>
      <c r="U88" s="8"/>
      <c r="V88" s="8"/>
      <c r="W88" s="8"/>
      <c r="X88" s="9">
        <f>144/60</f>
        <v>2.4</v>
      </c>
      <c r="Y88" s="9">
        <v>12</v>
      </c>
      <c r="Z88" s="87"/>
      <c r="AA88" s="9">
        <f>IFERROR(60/Production[[#This Row],[Production in 1h]],0)</f>
        <v>0.2</v>
      </c>
      <c r="AB88" s="9">
        <f>IFERROR(Production[[#This Row],[Qty Produced per Timer cycle]]*60/Production[[#This Row],[Timer]],0)</f>
        <v>300</v>
      </c>
      <c r="AC88" s="9">
        <f>IFERROR(IF(ISBLANK(Production[[#This Row],[Consumption Multiplier override]]),Production[[#This Row],[Production in 1h]]/Production[[#This Row],[Qty Produced per Timer cycle]],Production[[#This Row],[Consumption Multiplier override]]),0)</f>
        <v>25</v>
      </c>
      <c r="AD88" s="9"/>
      <c r="AE88" s="8" t="s">
        <v>501</v>
      </c>
    </row>
    <row r="89" spans="1:31" x14ac:dyDescent="0.45">
      <c r="A89">
        <v>75</v>
      </c>
      <c r="B89" t="s">
        <v>142</v>
      </c>
      <c r="C89" t="s">
        <v>143</v>
      </c>
      <c r="D89" t="s">
        <v>51</v>
      </c>
      <c r="E89">
        <v>1</v>
      </c>
      <c r="F89" t="s">
        <v>102</v>
      </c>
      <c r="G89">
        <v>2</v>
      </c>
      <c r="X89" s="4">
        <v>2</v>
      </c>
      <c r="Y89" s="4">
        <v>1</v>
      </c>
      <c r="Z89" s="88"/>
      <c r="AA89" s="9">
        <f>IFERROR(60/Production[[#This Row],[Production in 1h]],0)</f>
        <v>2</v>
      </c>
      <c r="AB89" s="9">
        <f>IFERROR(Production[[#This Row],[Qty Produced per Timer cycle]]*60/Production[[#This Row],[Timer]],0)</f>
        <v>30</v>
      </c>
      <c r="AC89" s="9">
        <f>IFERROR(IF(ISBLANK(Production[[#This Row],[Consumption Multiplier override]]),Production[[#This Row],[Production in 1h]]/Production[[#This Row],[Qty Produced per Timer cycle]],Production[[#This Row],[Consumption Multiplier override]]),0)</f>
        <v>30</v>
      </c>
      <c r="AD89" s="4"/>
      <c r="AE89" s="8" t="s">
        <v>144</v>
      </c>
    </row>
    <row r="90" spans="1:31" x14ac:dyDescent="0.45">
      <c r="A90">
        <v>97</v>
      </c>
      <c r="B90" t="s">
        <v>179</v>
      </c>
      <c r="C90" t="s">
        <v>180</v>
      </c>
      <c r="D90" t="s">
        <v>51</v>
      </c>
      <c r="E90">
        <v>1</v>
      </c>
      <c r="F90" t="s">
        <v>53</v>
      </c>
      <c r="G90">
        <v>1</v>
      </c>
      <c r="X90" s="4">
        <v>4</v>
      </c>
      <c r="Y90" s="4">
        <v>1</v>
      </c>
      <c r="Z90" s="88" t="s">
        <v>180</v>
      </c>
      <c r="AA90" s="9">
        <f>IFERROR(60/Production[[#This Row],[Production in 1h]],0)</f>
        <v>4</v>
      </c>
      <c r="AB90" s="9">
        <f>IFERROR(Production[[#This Row],[Qty Produced per Timer cycle]]*60/Production[[#This Row],[Timer]],0)</f>
        <v>15</v>
      </c>
      <c r="AC90" s="9">
        <f>IFERROR(IF(ISBLANK(Production[[#This Row],[Consumption Multiplier override]]),Production[[#This Row],[Production in 1h]]/Production[[#This Row],[Qty Produced per Timer cycle]],Production[[#This Row],[Consumption Multiplier override]]),0)</f>
        <v>1</v>
      </c>
      <c r="AD90" s="4">
        <v>1</v>
      </c>
      <c r="AE90" s="8" t="s">
        <v>570</v>
      </c>
    </row>
    <row r="91" spans="1:31" ht="28.5" x14ac:dyDescent="0.45">
      <c r="A91">
        <v>78</v>
      </c>
      <c r="B91" t="s">
        <v>151</v>
      </c>
      <c r="C91" t="s">
        <v>152</v>
      </c>
      <c r="D91" t="s">
        <v>51</v>
      </c>
      <c r="E91">
        <v>1</v>
      </c>
      <c r="F91" t="s">
        <v>149</v>
      </c>
      <c r="G91">
        <v>60</v>
      </c>
      <c r="X91" s="4">
        <v>60</v>
      </c>
      <c r="Y91" s="4">
        <v>1</v>
      </c>
      <c r="Z91" s="88"/>
      <c r="AA91" s="9">
        <f>IFERROR(60/Production[[#This Row],[Production in 1h]],0)</f>
        <v>60</v>
      </c>
      <c r="AB91" s="9">
        <f>IFERROR(Production[[#This Row],[Qty Produced per Timer cycle]]*60/Production[[#This Row],[Timer]],0)</f>
        <v>1</v>
      </c>
      <c r="AC91" s="9">
        <f>IFERROR(IF(ISBLANK(Production[[#This Row],[Consumption Multiplier override]]),Production[[#This Row],[Production in 1h]]/Production[[#This Row],[Qty Produced per Timer cycle]],Production[[#This Row],[Consumption Multiplier override]]),0)</f>
        <v>1</v>
      </c>
      <c r="AD91" s="4">
        <v>1</v>
      </c>
      <c r="AE91" s="8" t="s">
        <v>551</v>
      </c>
    </row>
    <row r="92" spans="1:31" ht="28.5" x14ac:dyDescent="0.45">
      <c r="A92">
        <v>8</v>
      </c>
      <c r="B92" s="8" t="s">
        <v>58</v>
      </c>
      <c r="C92" s="8" t="s">
        <v>61</v>
      </c>
      <c r="D92" s="8" t="s">
        <v>51</v>
      </c>
      <c r="E92" s="8">
        <v>1</v>
      </c>
      <c r="F92" s="8" t="s">
        <v>63</v>
      </c>
      <c r="G92" s="108">
        <f>INDEX(ResidentBuildings[Residents],MATCH(Production[[#This Row],[Building]],ResidentBuildings[Building],0))*INDEX(Consumption[Consumption/person/h],MATCH(Production[[#This Row],[Building]]&amp;" - "&amp;F92,Consumption[LookupValue],0))</f>
        <v>37.5</v>
      </c>
      <c r="H92" s="8" t="s">
        <v>66</v>
      </c>
      <c r="I92" s="108">
        <f>INDEX(ResidentBuildings[Residents],MATCH(Production[[#This Row],[Building]],ResidentBuildings[Building],0))*INDEX(Consumption[Consumption/person/h],MATCH(Production[[#This Row],[Building]]&amp;" - "&amp;H92,Consumption[LookupValue],0))</f>
        <v>37.5</v>
      </c>
      <c r="J92" s="8" t="s">
        <v>108</v>
      </c>
      <c r="K92" s="108">
        <f>INDEX(ResidentBuildings[Residents],MATCH(Production[[#This Row],[Building]],ResidentBuildings[Building],0))*INDEX(Consumption[Consumption/person/h],MATCH(Production[[#This Row],[Building]]&amp;" - "&amp;J92,Consumption[LookupValue],0))</f>
        <v>6.0000000000000009</v>
      </c>
      <c r="L92" s="8" t="s">
        <v>116</v>
      </c>
      <c r="M92" s="108">
        <f>INDEX(ResidentBuildings[Residents],MATCH(Production[[#This Row],[Building]],ResidentBuildings[Building],0))*INDEX(Consumption[Consumption/person/h],MATCH(Production[[#This Row],[Building]]&amp;" - "&amp;L92,Consumption[LookupValue],0))</f>
        <v>3.75</v>
      </c>
      <c r="N92" s="8" t="s">
        <v>137</v>
      </c>
      <c r="O92" s="108">
        <f>INDEX(ResidentBuildings[Residents],MATCH(Production[[#This Row],[Building]],ResidentBuildings[Building],0))*INDEX(Consumption[Consumption/person/h],MATCH(Production[[#This Row],[Building]]&amp;" - "&amp;N92,Consumption[LookupValue],0))</f>
        <v>3.0000000000000004</v>
      </c>
      <c r="P92" s="8" t="s">
        <v>146</v>
      </c>
      <c r="Q92" s="108">
        <f>INDEX(ResidentBuildings[Residents],MATCH(Production[[#This Row],[Building]],ResidentBuildings[Building],0))*INDEX(Consumption[Consumption/person/h],MATCH(Production[[#This Row],[Building]]&amp;" - "&amp;P92,Consumption[LookupValue],0))</f>
        <v>6.0000000000000009</v>
      </c>
      <c r="R92" s="8" t="s">
        <v>167</v>
      </c>
      <c r="S92" s="108">
        <f>INDEX(ResidentBuildings[Residents],MATCH(Production[[#This Row],[Building]],ResidentBuildings[Building],0))*INDEX(Consumption[Consumption/person/h],MATCH(Production[[#This Row],[Building]]&amp;" - "&amp;R92,Consumption[LookupValue],0))</f>
        <v>12.000000000000002</v>
      </c>
      <c r="T92" s="8" t="s">
        <v>173</v>
      </c>
      <c r="U92" s="108">
        <f>INDEX(ResidentBuildings[Residents],MATCH(Production[[#This Row],[Building]],ResidentBuildings[Building],0))*INDEX(Consumption[Consumption/person/h],MATCH(Production[[#This Row],[Building]]&amp;" - "&amp;T92,Consumption[LookupValue],0))</f>
        <v>2.2500000000000004</v>
      </c>
      <c r="V92" s="8"/>
      <c r="W92" s="8"/>
      <c r="X92" s="4">
        <v>60</v>
      </c>
      <c r="Y92" s="108">
        <v>50</v>
      </c>
      <c r="Z92" s="88"/>
      <c r="AA92" s="9">
        <f>IFERROR(60/Production[[#This Row],[Production in 1h]],0)</f>
        <v>1.2</v>
      </c>
      <c r="AB92" s="9">
        <f>IFERROR(Production[[#This Row],[Qty Produced per Timer cycle]]*60/Production[[#This Row],[Timer]],0)</f>
        <v>50</v>
      </c>
      <c r="AC92" s="9">
        <f>IFERROR(IF(ISBLANK(Production[[#This Row],[Consumption Multiplier override]]),Production[[#This Row],[Production in 1h]]/Production[[#This Row],[Qty Produced per Timer cycle]],Production[[#This Row],[Consumption Multiplier override]]),0)</f>
        <v>1</v>
      </c>
      <c r="AD92" s="9">
        <v>1</v>
      </c>
      <c r="AE92" s="8" t="s">
        <v>497</v>
      </c>
    </row>
    <row r="93" spans="1:31" ht="28.5" x14ac:dyDescent="0.45">
      <c r="A93">
        <v>3</v>
      </c>
      <c r="B93" s="8" t="s">
        <v>53</v>
      </c>
      <c r="C93" s="8" t="s">
        <v>53</v>
      </c>
      <c r="D93" s="8" t="s">
        <v>51</v>
      </c>
      <c r="E93" s="8">
        <v>1</v>
      </c>
      <c r="F93" s="8"/>
      <c r="G93" s="8"/>
      <c r="H93" s="8"/>
      <c r="I93" s="8"/>
      <c r="J93" s="8"/>
      <c r="K93" s="8"/>
      <c r="L93" s="8"/>
      <c r="M93" s="8"/>
      <c r="N93" s="8"/>
      <c r="O93" s="8"/>
      <c r="P93" s="8"/>
      <c r="Q93" s="8"/>
      <c r="R93" s="8"/>
      <c r="S93" s="8"/>
      <c r="T93" s="8"/>
      <c r="U93" s="8"/>
      <c r="V93" s="8"/>
      <c r="W93" s="8"/>
      <c r="X93" s="9">
        <v>60</v>
      </c>
      <c r="Y93" s="9">
        <f>1</f>
        <v>1</v>
      </c>
      <c r="Z93" s="87"/>
      <c r="AA93" s="9">
        <f>IFERROR(60/Production[[#This Row],[Production in 1h]],0)</f>
        <v>60</v>
      </c>
      <c r="AB93" s="9">
        <f>IFERROR(Production[[#This Row],[Qty Produced per Timer cycle]]*60/Production[[#This Row],[Timer]],0)</f>
        <v>1</v>
      </c>
      <c r="AC93" s="9">
        <f>IFERROR(IF(ISBLANK(Production[[#This Row],[Consumption Multiplier override]]),Production[[#This Row],[Production in 1h]]/Production[[#This Row],[Qty Produced per Timer cycle]],Production[[#This Row],[Consumption Multiplier override]]),0)</f>
        <v>1</v>
      </c>
      <c r="AD93" s="9"/>
      <c r="AE93" s="8" t="s">
        <v>394</v>
      </c>
    </row>
    <row r="94" spans="1:31" x14ac:dyDescent="0.45">
      <c r="A94">
        <v>101</v>
      </c>
      <c r="B94" t="s">
        <v>879</v>
      </c>
      <c r="C94" t="s">
        <v>369</v>
      </c>
      <c r="D94" t="s">
        <v>51</v>
      </c>
      <c r="E94">
        <v>1</v>
      </c>
      <c r="X94" s="4">
        <v>16</v>
      </c>
      <c r="Y94" s="4">
        <v>1</v>
      </c>
      <c r="Z94" s="88" t="s">
        <v>369</v>
      </c>
      <c r="AA94" s="9">
        <f>IFERROR(60/Production[[#This Row],[Production in 1h]],0)</f>
        <v>16</v>
      </c>
      <c r="AB94" s="9">
        <f>IFERROR(Production[[#This Row],[Qty Produced per Timer cycle]]*60/Production[[#This Row],[Timer]],0)</f>
        <v>3.75</v>
      </c>
      <c r="AC94" s="9">
        <f>IFERROR(IF(ISBLANK(Production[[#This Row],[Consumption Multiplier override]]),Production[[#This Row],[Production in 1h]]/Production[[#This Row],[Qty Produced per Timer cycle]],Production[[#This Row],[Consumption Multiplier override]]),0)</f>
        <v>1</v>
      </c>
      <c r="AD94" s="4">
        <v>1</v>
      </c>
      <c r="AE94" s="8"/>
    </row>
    <row r="95" spans="1:31" x14ac:dyDescent="0.45">
      <c r="A95">
        <v>102</v>
      </c>
      <c r="B95" t="s">
        <v>422</v>
      </c>
      <c r="C95" t="s">
        <v>422</v>
      </c>
      <c r="D95" t="s">
        <v>51</v>
      </c>
      <c r="E95">
        <v>1</v>
      </c>
      <c r="X95" s="4">
        <v>60</v>
      </c>
      <c r="Y95" s="4">
        <v>1</v>
      </c>
      <c r="Z95" s="88" t="s">
        <v>518</v>
      </c>
      <c r="AA95" s="9">
        <f>IFERROR(60/Production[[#This Row],[Production in 1h]],0)</f>
        <v>60</v>
      </c>
      <c r="AB95" s="9">
        <f>IFERROR(Production[[#This Row],[Qty Produced per Timer cycle]]*60/Production[[#This Row],[Timer]],0)</f>
        <v>1</v>
      </c>
      <c r="AC95" s="9">
        <f>IFERROR(IF(ISBLANK(Production[[#This Row],[Consumption Multiplier override]]),Production[[#This Row],[Production in 1h]]/Production[[#This Row],[Qty Produced per Timer cycle]],Production[[#This Row],[Consumption Multiplier override]]),0)</f>
        <v>1</v>
      </c>
      <c r="AD95" s="4">
        <v>1</v>
      </c>
      <c r="AE95" s="8"/>
    </row>
    <row r="96" spans="1:31" x14ac:dyDescent="0.45">
      <c r="A96">
        <v>134</v>
      </c>
      <c r="B96" t="s">
        <v>441</v>
      </c>
      <c r="C96" t="s">
        <v>387</v>
      </c>
      <c r="D96" t="s">
        <v>51</v>
      </c>
      <c r="E96">
        <v>1</v>
      </c>
      <c r="X96" s="4">
        <v>4</v>
      </c>
      <c r="Y96" s="4">
        <v>1</v>
      </c>
      <c r="Z96" s="88" t="s">
        <v>387</v>
      </c>
      <c r="AA96" s="9">
        <f>IFERROR(60/Production[[#This Row],[Production in 1h]],0)</f>
        <v>4</v>
      </c>
      <c r="AB96" s="9">
        <f>IFERROR(Production[[#This Row],[Qty Produced per Timer cycle]]*60/Production[[#This Row],[Timer]],0)</f>
        <v>15</v>
      </c>
      <c r="AC96" s="9">
        <f>IFERROR(IF(ISBLANK(Production[[#This Row],[Consumption Multiplier override]]),Production[[#This Row],[Production in 1h]]/Production[[#This Row],[Qty Produced per Timer cycle]],Production[[#This Row],[Consumption Multiplier override]]),0)</f>
        <v>15</v>
      </c>
      <c r="AD96" s="4"/>
      <c r="AE96" s="8"/>
    </row>
    <row r="97" spans="1:31" x14ac:dyDescent="0.45">
      <c r="A97">
        <v>126</v>
      </c>
      <c r="B97" t="s">
        <v>435</v>
      </c>
      <c r="C97" t="s">
        <v>379</v>
      </c>
      <c r="D97" t="s">
        <v>51</v>
      </c>
      <c r="E97">
        <f>3/3</f>
        <v>1</v>
      </c>
      <c r="F97" t="s">
        <v>377</v>
      </c>
      <c r="G97">
        <v>1</v>
      </c>
      <c r="H97" t="s">
        <v>378</v>
      </c>
      <c r="I97">
        <v>2</v>
      </c>
      <c r="X97" s="4">
        <f>80/60</f>
        <v>1.3333333333333333</v>
      </c>
      <c r="Y97" s="4">
        <v>2</v>
      </c>
      <c r="Z97" s="88"/>
      <c r="AA97" s="9">
        <f>IFERROR(60/Production[[#This Row],[Production in 1h]],0)</f>
        <v>0.66666666666666663</v>
      </c>
      <c r="AB97" s="9">
        <f>IFERROR(Production[[#This Row],[Qty Produced per Timer cycle]]*60/Production[[#This Row],[Timer]],0)</f>
        <v>90</v>
      </c>
      <c r="AC97" s="9">
        <f>IFERROR(IF(ISBLANK(Production[[#This Row],[Consumption Multiplier override]]),Production[[#This Row],[Production in 1h]]/Production[[#This Row],[Qty Produced per Timer cycle]],Production[[#This Row],[Consumption Multiplier override]]),0)</f>
        <v>45</v>
      </c>
      <c r="AD97" s="4"/>
      <c r="AE97" s="8" t="s">
        <v>453</v>
      </c>
    </row>
    <row r="98" spans="1:31" x14ac:dyDescent="0.45">
      <c r="A98">
        <v>108</v>
      </c>
      <c r="B98" t="s">
        <v>845</v>
      </c>
      <c r="C98" t="s">
        <v>372</v>
      </c>
      <c r="D98" t="s">
        <v>51</v>
      </c>
      <c r="E98">
        <v>1</v>
      </c>
      <c r="F98" t="s">
        <v>370</v>
      </c>
      <c r="G98">
        <v>1</v>
      </c>
      <c r="H98" t="s">
        <v>371</v>
      </c>
      <c r="I98">
        <v>1</v>
      </c>
      <c r="X98" s="4">
        <v>4</v>
      </c>
      <c r="Y98" s="4">
        <v>1</v>
      </c>
      <c r="Z98" s="88"/>
      <c r="AA98" s="9">
        <f>IFERROR(60/Production[[#This Row],[Production in 1h]],0)</f>
        <v>4</v>
      </c>
      <c r="AB98" s="9">
        <f>IFERROR(Production[[#This Row],[Qty Produced per Timer cycle]]*60/Production[[#This Row],[Timer]],0)</f>
        <v>15</v>
      </c>
      <c r="AC98" s="9">
        <f>IFERROR(IF(ISBLANK(Production[[#This Row],[Consumption Multiplier override]]),Production[[#This Row],[Production in 1h]]/Production[[#This Row],[Qty Produced per Timer cycle]],Production[[#This Row],[Consumption Multiplier override]]),0)</f>
        <v>15</v>
      </c>
      <c r="AD98" s="4"/>
      <c r="AE98" s="8" t="s">
        <v>423</v>
      </c>
    </row>
    <row r="99" spans="1:31" ht="28.5" x14ac:dyDescent="0.45">
      <c r="A99">
        <v>144</v>
      </c>
      <c r="B99" t="s">
        <v>661</v>
      </c>
      <c r="D99" t="s">
        <v>51</v>
      </c>
      <c r="E99">
        <v>6</v>
      </c>
      <c r="G99" s="8"/>
      <c r="X99" s="4">
        <v>0</v>
      </c>
      <c r="Y99" s="4">
        <v>1</v>
      </c>
      <c r="Z99" s="88"/>
      <c r="AA99" s="9">
        <f>IFERROR(60/Production[[#This Row],[Production in 1h]],0)</f>
        <v>0</v>
      </c>
      <c r="AB99" s="9">
        <f>IFERROR(Production[[#This Row],[Qty Produced per Timer cycle]]*60/Production[[#This Row],[Timer]],0)</f>
        <v>0</v>
      </c>
      <c r="AC99" s="4">
        <f>IFERROR(IF(ISBLANK(Production[[#This Row],[Consumption Multiplier override]]),Production[[#This Row],[Production in 1h]]/Production[[#This Row],[Qty Produced per Timer cycle]],Production[[#This Row],[Consumption Multiplier override]]),0)</f>
        <v>0</v>
      </c>
      <c r="AD99" s="4"/>
      <c r="AE99" s="87" t="s">
        <v>768</v>
      </c>
    </row>
    <row r="100" spans="1:31" x14ac:dyDescent="0.45">
      <c r="A100">
        <v>132</v>
      </c>
      <c r="B100" t="s">
        <v>439</v>
      </c>
      <c r="C100" t="s">
        <v>383</v>
      </c>
      <c r="D100" t="s">
        <v>51</v>
      </c>
      <c r="E100">
        <v>1</v>
      </c>
      <c r="F100" t="s">
        <v>49</v>
      </c>
      <c r="G100">
        <v>16</v>
      </c>
      <c r="X100" s="4">
        <v>2</v>
      </c>
      <c r="Y100" s="4">
        <v>1</v>
      </c>
      <c r="Z100" s="88"/>
      <c r="AA100" s="9">
        <f>IFERROR(60/Production[[#This Row],[Production in 1h]],0)</f>
        <v>2</v>
      </c>
      <c r="AB100" s="9">
        <f>IFERROR(Production[[#This Row],[Qty Produced per Timer cycle]]*60/Production[[#This Row],[Timer]],0)</f>
        <v>30</v>
      </c>
      <c r="AC100" s="9">
        <f>IFERROR(IF(ISBLANK(Production[[#This Row],[Consumption Multiplier override]]),Production[[#This Row],[Production in 1h]]/Production[[#This Row],[Qty Produced per Timer cycle]],Production[[#This Row],[Consumption Multiplier override]]),0)</f>
        <v>30</v>
      </c>
      <c r="AD100" s="4"/>
      <c r="AE100" s="8" t="s">
        <v>446</v>
      </c>
    </row>
    <row r="101" spans="1:31" ht="28.5" x14ac:dyDescent="0.45">
      <c r="A101">
        <v>9</v>
      </c>
      <c r="B101" s="8" t="s">
        <v>59</v>
      </c>
      <c r="C101" s="8" t="s">
        <v>60</v>
      </c>
      <c r="D101" s="8" t="s">
        <v>51</v>
      </c>
      <c r="E101" s="8">
        <v>1</v>
      </c>
      <c r="F101" s="8" t="s">
        <v>116</v>
      </c>
      <c r="G101" s="108">
        <f>INDEX(ResidentBuildings[Residents],MATCH(Production[[#This Row],[Building]],ResidentBuildings[Building],0))*INDEX(Consumption[Consumption/person/h],MATCH(Production[[#This Row],[Building]]&amp;" - "&amp;F101,Consumption[LookupValue],0))</f>
        <v>4.5</v>
      </c>
      <c r="H101" s="8" t="s">
        <v>137</v>
      </c>
      <c r="I101" s="108">
        <f>INDEX(ResidentBuildings[Residents],MATCH(Production[[#This Row],[Building]],ResidentBuildings[Building],0))*INDEX(Consumption[Consumption/person/h],MATCH(Production[[#This Row],[Building]]&amp;" - "&amp;H101,Consumption[LookupValue],0))</f>
        <v>3.6</v>
      </c>
      <c r="J101" s="8" t="s">
        <v>146</v>
      </c>
      <c r="K101" s="108">
        <f>INDEX(ResidentBuildings[Residents],MATCH(Production[[#This Row],[Building]],ResidentBuildings[Building],0))*INDEX(Consumption[Consumption/person/h],MATCH(Production[[#This Row],[Building]]&amp;" - "&amp;J101,Consumption[LookupValue],0))</f>
        <v>7.2</v>
      </c>
      <c r="L101" s="8" t="s">
        <v>167</v>
      </c>
      <c r="M101" s="108">
        <f>INDEX(ResidentBuildings[Residents],MATCH(Production[[#This Row],[Building]],ResidentBuildings[Building],0))*INDEX(Consumption[Consumption/person/h],MATCH(Production[[#This Row],[Building]]&amp;" - "&amp;L101,Consumption[LookupValue],0))</f>
        <v>14.4</v>
      </c>
      <c r="N101" s="8" t="s">
        <v>372</v>
      </c>
      <c r="O101" s="108">
        <f>INDEX(ResidentBuildings[Residents],MATCH(Production[[#This Row],[Building]],ResidentBuildings[Building],0))*INDEX(Consumption[Consumption/person/h],MATCH(Production[[#This Row],[Building]]&amp;" - "&amp;N101,Consumption[LookupValue],0))</f>
        <v>7.2</v>
      </c>
      <c r="P101" s="8" t="s">
        <v>374</v>
      </c>
      <c r="Q101" s="108">
        <f>INDEX(ResidentBuildings[Residents],MATCH(Production[[#This Row],[Building]],ResidentBuildings[Building],0))*INDEX(Consumption[Consumption/person/h],MATCH(Production[[#This Row],[Building]]&amp;" - "&amp;P101,Consumption[LookupValue],0))</f>
        <v>3.6</v>
      </c>
      <c r="R101" s="8" t="s">
        <v>660</v>
      </c>
      <c r="S101" s="108">
        <f>INDEX(ResidentBuildings[Residents],MATCH(Production[[#This Row],[Building]],ResidentBuildings[Building],0))*INDEX(Consumption[Consumption/person/h],MATCH(Production[[#This Row],[Building]]&amp;" - "&amp;R101,Consumption[LookupValue],0))</f>
        <v>5.4</v>
      </c>
      <c r="T101" s="8" t="s">
        <v>379</v>
      </c>
      <c r="U101" s="108">
        <f>INDEX(ResidentBuildings[Residents],MATCH(Production[[#This Row],[Building]],ResidentBuildings[Building],0))*INDEX(Consumption[Consumption/person/h],MATCH(Production[[#This Row],[Building]]&amp;" - "&amp;T101,Consumption[LookupValue],0))</f>
        <v>10.8</v>
      </c>
      <c r="V101" s="8" t="s">
        <v>382</v>
      </c>
      <c r="W101" s="108">
        <f>INDEX(ResidentBuildings[Residents],MATCH(Production[[#This Row],[Building]],ResidentBuildings[Building],0))*INDEX(Consumption[Consumption/person/h],MATCH(Production[[#This Row],[Building]]&amp;" - "&amp;V101,Consumption[LookupValue],0))</f>
        <v>8</v>
      </c>
      <c r="X101" s="4">
        <v>60</v>
      </c>
      <c r="Y101" s="108">
        <f>30*3600*13/2000000</f>
        <v>0.70199999999999996</v>
      </c>
      <c r="Z101" s="88"/>
      <c r="AA101" s="9">
        <f>IFERROR(60/Production[[#This Row],[Production in 1h]],0)</f>
        <v>85.470085470085479</v>
      </c>
      <c r="AB101" s="9">
        <f>IFERROR(Production[[#This Row],[Qty Produced per Timer cycle]]*60/Production[[#This Row],[Timer]],0)</f>
        <v>0.70199999999999996</v>
      </c>
      <c r="AC101" s="9">
        <f>IFERROR(IF(ISBLANK(Production[[#This Row],[Consumption Multiplier override]]),Production[[#This Row],[Production in 1h]]/Production[[#This Row],[Qty Produced per Timer cycle]],Production[[#This Row],[Consumption Multiplier override]]),0)</f>
        <v>1</v>
      </c>
      <c r="AD101" s="9">
        <v>1</v>
      </c>
      <c r="AE101" s="8" t="s">
        <v>497</v>
      </c>
    </row>
    <row r="102" spans="1:31" ht="28.5" x14ac:dyDescent="0.45">
      <c r="A102">
        <v>5</v>
      </c>
      <c r="B102" s="8" t="s">
        <v>55</v>
      </c>
      <c r="C102" s="8" t="s">
        <v>9</v>
      </c>
      <c r="D102" s="8" t="s">
        <v>51</v>
      </c>
      <c r="E102" s="8">
        <v>1</v>
      </c>
      <c r="F102" s="8" t="s">
        <v>63</v>
      </c>
      <c r="G102" s="108">
        <f>INDEX(ResidentBuildings[Residents],MATCH(Production[[#This Row],[Building]],ResidentBuildings[Building],0))*INDEX(Consumption[Consumption/person/h],MATCH(Production[[#This Row],[Building]]&amp;" - "&amp;F102,Consumption[LookupValue],0))</f>
        <v>7.5</v>
      </c>
      <c r="H102" s="8" t="s">
        <v>66</v>
      </c>
      <c r="I102" s="108">
        <f>INDEX(ResidentBuildings[Residents],MATCH(Production[[#This Row],[Building]],ResidentBuildings[Building],0))*INDEX(Consumption[Consumption/person/h],MATCH(Production[[#This Row],[Building]]&amp;" - "&amp;H102,Consumption[LookupValue],0))</f>
        <v>5</v>
      </c>
      <c r="J102" s="8"/>
      <c r="K102" s="8"/>
      <c r="L102" s="8"/>
      <c r="M102" s="8"/>
      <c r="N102" s="8"/>
      <c r="O102" s="8"/>
      <c r="P102" s="8"/>
      <c r="Q102" s="8"/>
      <c r="R102" s="8"/>
      <c r="S102" s="8"/>
      <c r="T102" s="8"/>
      <c r="U102" s="8"/>
      <c r="V102" s="8"/>
      <c r="W102" s="8"/>
      <c r="X102" s="4">
        <v>60</v>
      </c>
      <c r="Y102" s="108">
        <v>3</v>
      </c>
      <c r="Z102" s="88"/>
      <c r="AA102" s="9">
        <f>IFERROR(60/Production[[#This Row],[Production in 1h]],0)</f>
        <v>20</v>
      </c>
      <c r="AB102" s="9">
        <f>IFERROR(Production[[#This Row],[Qty Produced per Timer cycle]]*60/Production[[#This Row],[Timer]],0)</f>
        <v>3</v>
      </c>
      <c r="AC102" s="9">
        <f>IFERROR(IF(ISBLANK(Production[[#This Row],[Consumption Multiplier override]]),Production[[#This Row],[Production in 1h]]/Production[[#This Row],[Qty Produced per Timer cycle]],Production[[#This Row],[Consumption Multiplier override]]),0)</f>
        <v>1</v>
      </c>
      <c r="AD102" s="9">
        <v>1</v>
      </c>
      <c r="AE102" s="8" t="s">
        <v>497</v>
      </c>
    </row>
    <row r="103" spans="1:31" ht="28.5" x14ac:dyDescent="0.45">
      <c r="A103">
        <v>4</v>
      </c>
      <c r="B103" s="8" t="s">
        <v>403</v>
      </c>
      <c r="C103" s="8" t="s">
        <v>9</v>
      </c>
      <c r="D103" s="8" t="s">
        <v>51</v>
      </c>
      <c r="E103" s="8">
        <v>1</v>
      </c>
      <c r="F103" s="8" t="s">
        <v>63</v>
      </c>
      <c r="G103" s="108">
        <f>INDEX(ResidentBuildings[Residents],MATCH(Production[[#This Row],[Building]],ResidentBuildings[Building],0))*INDEX(Consumption[Consumption/person/h],MATCH(Production[[#This Row],[Building]]&amp;" - "&amp;F103,Consumption[LookupValue],0))</f>
        <v>7.5</v>
      </c>
      <c r="H103" s="8" t="s">
        <v>66</v>
      </c>
      <c r="I103" s="108">
        <f>INDEX(ResidentBuildings[Residents],MATCH(Production[[#This Row],[Building]],ResidentBuildings[Building],0))*INDEX(Consumption[Consumption/person/h],MATCH(Production[[#This Row],[Building]]&amp;" - "&amp;H103,Consumption[LookupValue],0))</f>
        <v>0</v>
      </c>
      <c r="J103" s="8"/>
      <c r="K103" s="8"/>
      <c r="L103" s="8"/>
      <c r="M103" s="8"/>
      <c r="N103" s="8"/>
      <c r="O103" s="8"/>
      <c r="P103" s="8"/>
      <c r="Q103" s="8"/>
      <c r="R103" s="8"/>
      <c r="S103" s="8"/>
      <c r="T103" s="8"/>
      <c r="U103" s="8"/>
      <c r="V103" s="8"/>
      <c r="W103" s="8"/>
      <c r="X103" s="4">
        <v>60</v>
      </c>
      <c r="Y103" s="108">
        <v>1.5</v>
      </c>
      <c r="Z103" s="88"/>
      <c r="AA103" s="9">
        <f>IFERROR(60/Production[[#This Row],[Production in 1h]],0)</f>
        <v>40</v>
      </c>
      <c r="AB103" s="9">
        <f>IFERROR(Production[[#This Row],[Qty Produced per Timer cycle]]*60/Production[[#This Row],[Timer]],0)</f>
        <v>1.5</v>
      </c>
      <c r="AC103" s="9">
        <f>IFERROR(IF(ISBLANK(Production[[#This Row],[Consumption Multiplier override]]),Production[[#This Row],[Production in 1h]]/Production[[#This Row],[Qty Produced per Timer cycle]],Production[[#This Row],[Consumption Multiplier override]]),0)</f>
        <v>1</v>
      </c>
      <c r="AD103" s="9">
        <v>1</v>
      </c>
      <c r="AE103" s="8" t="s">
        <v>496</v>
      </c>
    </row>
    <row r="104" spans="1:31" x14ac:dyDescent="0.45">
      <c r="A104">
        <v>138</v>
      </c>
      <c r="B104" t="s">
        <v>444</v>
      </c>
      <c r="C104" t="s">
        <v>390</v>
      </c>
      <c r="D104" t="s">
        <v>51</v>
      </c>
      <c r="E104">
        <v>1</v>
      </c>
      <c r="F104" t="s">
        <v>156</v>
      </c>
      <c r="G104">
        <v>1</v>
      </c>
      <c r="H104" t="s">
        <v>93</v>
      </c>
      <c r="I104">
        <v>1</v>
      </c>
      <c r="X104" s="4">
        <v>4</v>
      </c>
      <c r="Y104" s="4">
        <v>2</v>
      </c>
      <c r="Z104" s="88"/>
      <c r="AA104" s="9">
        <f>IFERROR(60/Production[[#This Row],[Production in 1h]],0)</f>
        <v>2</v>
      </c>
      <c r="AB104" s="9">
        <f>IFERROR(Production[[#This Row],[Qty Produced per Timer cycle]]*60/Production[[#This Row],[Timer]],0)</f>
        <v>30</v>
      </c>
      <c r="AC104" s="9">
        <f>IFERROR(IF(ISBLANK(Production[[#This Row],[Consumption Multiplier override]]),Production[[#This Row],[Production in 1h]]/Production[[#This Row],[Qty Produced per Timer cycle]],Production[[#This Row],[Consumption Multiplier override]]),0)</f>
        <v>15</v>
      </c>
      <c r="AD104" s="4"/>
      <c r="AE104" s="8" t="s">
        <v>460</v>
      </c>
    </row>
    <row r="105" spans="1:31" x14ac:dyDescent="0.45">
      <c r="A105">
        <v>19</v>
      </c>
      <c r="B105" t="s">
        <v>67</v>
      </c>
      <c r="C105" t="s">
        <v>66</v>
      </c>
      <c r="D105" t="s">
        <v>51</v>
      </c>
      <c r="E105">
        <v>1</v>
      </c>
      <c r="F105" t="s">
        <v>65</v>
      </c>
      <c r="G105">
        <v>4</v>
      </c>
      <c r="X105" s="4">
        <v>1</v>
      </c>
      <c r="Y105" s="4">
        <v>1</v>
      </c>
      <c r="Z105" s="88"/>
      <c r="AA105" s="9">
        <f>IFERROR(60/Production[[#This Row],[Production in 1h]],0)</f>
        <v>1</v>
      </c>
      <c r="AB105" s="9">
        <f>IFERROR(Production[[#This Row],[Qty Produced per Timer cycle]]*60/Production[[#This Row],[Timer]],0)</f>
        <v>60</v>
      </c>
      <c r="AC105" s="9">
        <f>IFERROR(IF(ISBLANK(Production[[#This Row],[Consumption Multiplier override]]),Production[[#This Row],[Production in 1h]]/Production[[#This Row],[Qty Produced per Timer cycle]],Production[[#This Row],[Consumption Multiplier override]]),0)</f>
        <v>1</v>
      </c>
      <c r="AD105" s="4">
        <v>1</v>
      </c>
      <c r="AE105" s="8"/>
    </row>
    <row r="106" spans="1:31" x14ac:dyDescent="0.45">
      <c r="A106">
        <v>17</v>
      </c>
      <c r="B106" t="s">
        <v>880</v>
      </c>
      <c r="C106" t="s">
        <v>66</v>
      </c>
      <c r="D106" t="s">
        <v>51</v>
      </c>
      <c r="E106">
        <v>1</v>
      </c>
      <c r="X106" s="4">
        <v>4</v>
      </c>
      <c r="Y106" s="4">
        <v>1</v>
      </c>
      <c r="Z106" s="88" t="s">
        <v>512</v>
      </c>
      <c r="AA106" s="9">
        <f>IFERROR(60/Production[[#This Row],[Production in 1h]],0)</f>
        <v>4</v>
      </c>
      <c r="AB106" s="9">
        <f>IFERROR(Production[[#This Row],[Qty Produced per Timer cycle]]*60/Production[[#This Row],[Timer]],0)</f>
        <v>15</v>
      </c>
      <c r="AC106" s="9">
        <f>IFERROR(IF(ISBLANK(Production[[#This Row],[Consumption Multiplier override]]),Production[[#This Row],[Production in 1h]]/Production[[#This Row],[Qty Produced per Timer cycle]],Production[[#This Row],[Consumption Multiplier override]]),0)</f>
        <v>15</v>
      </c>
      <c r="AD106" s="4"/>
      <c r="AE106" s="8"/>
    </row>
    <row r="107" spans="1:31" x14ac:dyDescent="0.45">
      <c r="A107">
        <v>18</v>
      </c>
      <c r="B107" t="s">
        <v>65</v>
      </c>
      <c r="C107" t="s">
        <v>65</v>
      </c>
      <c r="D107" t="s">
        <v>51</v>
      </c>
      <c r="E107">
        <v>1</v>
      </c>
      <c r="X107" s="4">
        <v>60</v>
      </c>
      <c r="Y107" s="4">
        <v>1</v>
      </c>
      <c r="Z107" s="88" t="s">
        <v>512</v>
      </c>
      <c r="AA107" s="9">
        <f>IFERROR(60/Production[[#This Row],[Production in 1h]],0)</f>
        <v>60</v>
      </c>
      <c r="AB107" s="9">
        <f>IFERROR(Production[[#This Row],[Qty Produced per Timer cycle]]*60/Production[[#This Row],[Timer]],0)</f>
        <v>1</v>
      </c>
      <c r="AC107" s="9">
        <f>IFERROR(IF(ISBLANK(Production[[#This Row],[Consumption Multiplier override]]),Production[[#This Row],[Production in 1h]]/Production[[#This Row],[Qty Produced per Timer cycle]],Production[[#This Row],[Consumption Multiplier override]]),0)</f>
        <v>1</v>
      </c>
      <c r="AD107" s="4"/>
      <c r="AE107" s="8"/>
    </row>
    <row r="108" spans="1:31" ht="28.5" x14ac:dyDescent="0.45">
      <c r="A108">
        <v>135</v>
      </c>
      <c r="B108" t="s">
        <v>442</v>
      </c>
      <c r="C108" t="s">
        <v>388</v>
      </c>
      <c r="D108" t="s">
        <v>51</v>
      </c>
      <c r="E108">
        <v>1</v>
      </c>
      <c r="F108" t="s">
        <v>120</v>
      </c>
      <c r="G108">
        <v>1</v>
      </c>
      <c r="H108" t="s">
        <v>387</v>
      </c>
      <c r="I108">
        <v>1</v>
      </c>
      <c r="X108" s="4">
        <v>4</v>
      </c>
      <c r="Y108" s="4">
        <v>1</v>
      </c>
      <c r="Z108" s="88"/>
      <c r="AA108" s="9">
        <f>IFERROR(60/Production[[#This Row],[Production in 1h]],0)</f>
        <v>4</v>
      </c>
      <c r="AB108" s="9">
        <f>IFERROR(Production[[#This Row],[Qty Produced per Timer cycle]]*60/Production[[#This Row],[Timer]],0)</f>
        <v>15</v>
      </c>
      <c r="AC108" s="9">
        <f>IFERROR(IF(ISBLANK(Production[[#This Row],[Consumption Multiplier override]]),Production[[#This Row],[Production in 1h]]/Production[[#This Row],[Qty Produced per Timer cycle]],Production[[#This Row],[Consumption Multiplier override]]),0)</f>
        <v>15</v>
      </c>
      <c r="AD108" s="4"/>
      <c r="AE108" s="8" t="s">
        <v>457</v>
      </c>
    </row>
    <row r="109" spans="1:31" x14ac:dyDescent="0.45">
      <c r="A109">
        <v>55</v>
      </c>
      <c r="B109" t="s">
        <v>111</v>
      </c>
      <c r="C109" t="s">
        <v>13</v>
      </c>
      <c r="D109" t="s">
        <v>51</v>
      </c>
      <c r="E109">
        <v>1</v>
      </c>
      <c r="F109" t="s">
        <v>61</v>
      </c>
      <c r="G109">
        <v>1</v>
      </c>
      <c r="H109" t="s">
        <v>110</v>
      </c>
      <c r="I109">
        <v>1</v>
      </c>
      <c r="J109" t="s">
        <v>9</v>
      </c>
      <c r="K109">
        <v>1</v>
      </c>
      <c r="X109" s="4">
        <v>10</v>
      </c>
      <c r="Y109" s="4">
        <v>1</v>
      </c>
      <c r="Z109" s="88"/>
      <c r="AA109" s="9">
        <f>IFERROR(60/Production[[#This Row],[Production in 1h]],0)</f>
        <v>10</v>
      </c>
      <c r="AB109" s="9">
        <f>IFERROR(Production[[#This Row],[Qty Produced per Timer cycle]]*60/Production[[#This Row],[Timer]],0)</f>
        <v>6</v>
      </c>
      <c r="AC109" s="9">
        <f>IFERROR(IF(ISBLANK(Production[[#This Row],[Consumption Multiplier override]]),Production[[#This Row],[Production in 1h]]/Production[[#This Row],[Qty Produced per Timer cycle]],Production[[#This Row],[Consumption Multiplier override]]),0)</f>
        <v>6</v>
      </c>
      <c r="AD109" s="4"/>
      <c r="AE109" s="8" t="s">
        <v>881</v>
      </c>
    </row>
    <row r="110" spans="1:31" x14ac:dyDescent="0.45">
      <c r="A110">
        <v>88</v>
      </c>
      <c r="B110" t="s">
        <v>163</v>
      </c>
      <c r="C110" t="s">
        <v>164</v>
      </c>
      <c r="D110" t="s">
        <v>53</v>
      </c>
      <c r="E110">
        <v>1</v>
      </c>
      <c r="X110" s="4">
        <v>4</v>
      </c>
      <c r="Y110" s="4">
        <v>1</v>
      </c>
      <c r="Z110" s="88" t="s">
        <v>516</v>
      </c>
      <c r="AA110" s="9">
        <f>IFERROR(60/Production[[#This Row],[Production in 1h]],0)</f>
        <v>4</v>
      </c>
      <c r="AB110" s="9">
        <f>IFERROR(Production[[#This Row],[Qty Produced per Timer cycle]]*60/Production[[#This Row],[Timer]],0)</f>
        <v>15</v>
      </c>
      <c r="AC110" s="9">
        <f>IFERROR(IF(ISBLANK(Production[[#This Row],[Consumption Multiplier override]]),Production[[#This Row],[Production in 1h]]/Production[[#This Row],[Qty Produced per Timer cycle]],Production[[#This Row],[Consumption Multiplier override]]),0)</f>
        <v>15</v>
      </c>
      <c r="AD110" s="4"/>
      <c r="AE110" s="8"/>
    </row>
    <row r="111" spans="1:31" x14ac:dyDescent="0.45">
      <c r="A111">
        <v>29</v>
      </c>
      <c r="B111" t="s">
        <v>76</v>
      </c>
      <c r="C111" t="s">
        <v>365</v>
      </c>
      <c r="D111" t="s">
        <v>51</v>
      </c>
      <c r="E111">
        <v>1</v>
      </c>
      <c r="F111" t="s">
        <v>69</v>
      </c>
      <c r="G111">
        <v>1</v>
      </c>
      <c r="X111" s="4">
        <v>2</v>
      </c>
      <c r="Y111" s="4">
        <v>1</v>
      </c>
      <c r="Z111" s="88"/>
      <c r="AA111" s="9">
        <f>IFERROR(60/Production[[#This Row],[Production in 1h]],0)</f>
        <v>2</v>
      </c>
      <c r="AB111" s="9">
        <f>IFERROR(Production[[#This Row],[Qty Produced per Timer cycle]]*60/Production[[#This Row],[Timer]],0)</f>
        <v>30</v>
      </c>
      <c r="AC111" s="9">
        <f>IFERROR(IF(ISBLANK(Production[[#This Row],[Consumption Multiplier override]]),Production[[#This Row],[Production in 1h]]/Production[[#This Row],[Qty Produced per Timer cycle]],Production[[#This Row],[Consumption Multiplier override]]),0)</f>
        <v>30</v>
      </c>
      <c r="AD111" s="4"/>
      <c r="AE111" s="8" t="s">
        <v>886</v>
      </c>
    </row>
    <row r="112" spans="1:31" x14ac:dyDescent="0.45">
      <c r="A112">
        <v>60</v>
      </c>
      <c r="B112" t="s">
        <v>118</v>
      </c>
      <c r="C112" t="s">
        <v>85</v>
      </c>
      <c r="D112" t="s">
        <v>51</v>
      </c>
      <c r="E112">
        <v>1</v>
      </c>
      <c r="F112" t="s">
        <v>365</v>
      </c>
      <c r="G112">
        <v>1</v>
      </c>
      <c r="H112" t="s">
        <v>366</v>
      </c>
      <c r="I112">
        <v>2</v>
      </c>
      <c r="X112" s="4">
        <v>4</v>
      </c>
      <c r="Y112" s="4">
        <v>1</v>
      </c>
      <c r="Z112" s="88"/>
      <c r="AA112" s="9">
        <f>IFERROR(60/Production[[#This Row],[Production in 1h]],0)</f>
        <v>4</v>
      </c>
      <c r="AB112" s="9">
        <f>IFERROR(Production[[#This Row],[Qty Produced per Timer cycle]]*60/Production[[#This Row],[Timer]],0)</f>
        <v>15</v>
      </c>
      <c r="AC112" s="9">
        <f>IFERROR(IF(ISBLANK(Production[[#This Row],[Consumption Multiplier override]]),Production[[#This Row],[Production in 1h]]/Production[[#This Row],[Qty Produced per Timer cycle]],Production[[#This Row],[Consumption Multiplier override]]),0)</f>
        <v>15</v>
      </c>
      <c r="AD112" s="4"/>
      <c r="AE112" s="8" t="s">
        <v>119</v>
      </c>
    </row>
    <row r="113" spans="1:31" x14ac:dyDescent="0.45">
      <c r="A113">
        <v>89</v>
      </c>
      <c r="B113" t="s">
        <v>517</v>
      </c>
      <c r="C113" t="s">
        <v>165</v>
      </c>
      <c r="D113" t="s">
        <v>51</v>
      </c>
      <c r="E113">
        <v>1</v>
      </c>
      <c r="F113" t="s">
        <v>120</v>
      </c>
      <c r="G113">
        <v>1</v>
      </c>
      <c r="H113" t="s">
        <v>164</v>
      </c>
      <c r="I113">
        <v>2</v>
      </c>
      <c r="X113" s="4">
        <v>8</v>
      </c>
      <c r="Y113" s="4">
        <v>6</v>
      </c>
      <c r="Z113" s="88"/>
      <c r="AA113" s="9">
        <f>IFERROR(60/Production[[#This Row],[Production in 1h]],0)</f>
        <v>1.3333333333333333</v>
      </c>
      <c r="AB113" s="9">
        <f>IFERROR(Production[[#This Row],[Qty Produced per Timer cycle]]*60/Production[[#This Row],[Timer]],0)</f>
        <v>45</v>
      </c>
      <c r="AC113" s="9">
        <f>IFERROR(IF(ISBLANK(Production[[#This Row],[Consumption Multiplier override]]),Production[[#This Row],[Production in 1h]]/Production[[#This Row],[Qty Produced per Timer cycle]],Production[[#This Row],[Consumption Multiplier override]]),0)</f>
        <v>7.5</v>
      </c>
      <c r="AD113" s="4"/>
      <c r="AE113" s="8" t="s">
        <v>859</v>
      </c>
    </row>
    <row r="114" spans="1:31" x14ac:dyDescent="0.45">
      <c r="A114">
        <v>90</v>
      </c>
      <c r="B114" t="s">
        <v>364</v>
      </c>
      <c r="C114" t="s">
        <v>165</v>
      </c>
      <c r="D114" t="s">
        <v>51</v>
      </c>
      <c r="E114">
        <v>1</v>
      </c>
      <c r="F114" t="s">
        <v>52</v>
      </c>
      <c r="G114">
        <v>2</v>
      </c>
      <c r="X114" s="4">
        <v>8</v>
      </c>
      <c r="Y114" s="4">
        <v>1</v>
      </c>
      <c r="Z114" s="88"/>
      <c r="AA114" s="9">
        <f>IFERROR(60/Production[[#This Row],[Production in 1h]],0)</f>
        <v>8</v>
      </c>
      <c r="AB114" s="9">
        <f>IFERROR(Production[[#This Row],[Qty Produced per Timer cycle]]*60/Production[[#This Row],[Timer]],0)</f>
        <v>7.5</v>
      </c>
      <c r="AC114" s="9">
        <f>IFERROR(IF(ISBLANK(Production[[#This Row],[Consumption Multiplier override]]),Production[[#This Row],[Production in 1h]]/Production[[#This Row],[Qty Produced per Timer cycle]],Production[[#This Row],[Consumption Multiplier override]]),0)</f>
        <v>7.5</v>
      </c>
      <c r="AD114" s="4"/>
      <c r="AE114" s="8"/>
    </row>
    <row r="115" spans="1:31" x14ac:dyDescent="0.45">
      <c r="A115">
        <v>16</v>
      </c>
      <c r="B115" t="s">
        <v>64</v>
      </c>
      <c r="C115" t="s">
        <v>86</v>
      </c>
      <c r="D115" t="s">
        <v>51</v>
      </c>
      <c r="E115">
        <v>1</v>
      </c>
      <c r="F115" t="s">
        <v>49</v>
      </c>
      <c r="G115">
        <v>1</v>
      </c>
      <c r="X115" s="4">
        <f>12/60</f>
        <v>0.2</v>
      </c>
      <c r="Y115" s="4">
        <v>1</v>
      </c>
      <c r="Z115" s="88"/>
      <c r="AA115" s="9">
        <f>IFERROR(60/Production[[#This Row],[Production in 1h]],0)</f>
        <v>0.2</v>
      </c>
      <c r="AB115" s="9">
        <f>IFERROR(Production[[#This Row],[Qty Produced per Timer cycle]]*60/Production[[#This Row],[Timer]],0)</f>
        <v>300</v>
      </c>
      <c r="AC115" s="9">
        <f>IFERROR(IF(ISBLANK(Production[[#This Row],[Consumption Multiplier override]]),Production[[#This Row],[Production in 1h]]/Production[[#This Row],[Qty Produced per Timer cycle]],Production[[#This Row],[Consumption Multiplier override]]),0)</f>
        <v>300</v>
      </c>
      <c r="AD115" s="4"/>
      <c r="AE115" s="8"/>
    </row>
    <row r="116" spans="1:31" ht="28.5" x14ac:dyDescent="0.45">
      <c r="A116">
        <v>98</v>
      </c>
      <c r="B116" t="s">
        <v>335</v>
      </c>
      <c r="C116" t="s">
        <v>332</v>
      </c>
      <c r="D116" t="s">
        <v>51</v>
      </c>
      <c r="E116">
        <v>1</v>
      </c>
      <c r="X116" s="4">
        <v>60</v>
      </c>
      <c r="Y116" s="4">
        <v>1</v>
      </c>
      <c r="Z116" s="88"/>
      <c r="AA116" s="9">
        <f>IFERROR(60/Production[[#This Row],[Production in 1h]],0)</f>
        <v>60</v>
      </c>
      <c r="AB116" s="9">
        <f>IFERROR(Production[[#This Row],[Qty Produced per Timer cycle]]*60/Production[[#This Row],[Timer]],0)</f>
        <v>1</v>
      </c>
      <c r="AC116" s="9">
        <f>IFERROR(IF(ISBLANK(Production[[#This Row],[Consumption Multiplier override]]),Production[[#This Row],[Production in 1h]]/Production[[#This Row],[Qty Produced per Timer cycle]],Production[[#This Row],[Consumption Multiplier override]]),0)</f>
        <v>1</v>
      </c>
      <c r="AD116" s="4">
        <v>1</v>
      </c>
      <c r="AE116" s="8" t="s">
        <v>553</v>
      </c>
    </row>
    <row r="117" spans="1:31" x14ac:dyDescent="0.45">
      <c r="A117">
        <v>44</v>
      </c>
      <c r="B117" t="s">
        <v>99</v>
      </c>
      <c r="C117" t="s">
        <v>366</v>
      </c>
      <c r="D117" t="s">
        <v>51</v>
      </c>
      <c r="E117">
        <v>1</v>
      </c>
      <c r="F117" t="s">
        <v>889</v>
      </c>
      <c r="G117">
        <v>8</v>
      </c>
      <c r="X117" s="4">
        <v>2</v>
      </c>
      <c r="Y117" s="4">
        <v>1</v>
      </c>
      <c r="Z117" s="88"/>
      <c r="AA117" s="9">
        <f>IFERROR(60/Production[[#This Row],[Production in 1h]],0)</f>
        <v>2</v>
      </c>
      <c r="AB117" s="9">
        <f>IFERROR(Production[[#This Row],[Qty Produced per Timer cycle]]*60/Production[[#This Row],[Timer]],0)</f>
        <v>30</v>
      </c>
      <c r="AC117" s="9">
        <f>IFERROR(IF(ISBLANK(Production[[#This Row],[Consumption Multiplier override]]),Production[[#This Row],[Production in 1h]]/Production[[#This Row],[Qty Produced per Timer cycle]],Production[[#This Row],[Consumption Multiplier override]]),0)</f>
        <v>1</v>
      </c>
      <c r="AD117" s="4">
        <v>1</v>
      </c>
      <c r="AE117" s="8"/>
    </row>
    <row r="118" spans="1:31" ht="28.5" x14ac:dyDescent="0.45">
      <c r="A118">
        <v>43</v>
      </c>
      <c r="B118" t="s">
        <v>889</v>
      </c>
      <c r="C118" t="s">
        <v>889</v>
      </c>
      <c r="D118" t="s">
        <v>51</v>
      </c>
      <c r="E118">
        <v>1</v>
      </c>
      <c r="X118" s="4">
        <v>60</v>
      </c>
      <c r="Y118" s="4">
        <v>1</v>
      </c>
      <c r="Z118" s="88"/>
      <c r="AA118" s="9">
        <f>IFERROR(60/Production[[#This Row],[Production in 1h]],0)</f>
        <v>60</v>
      </c>
      <c r="AB118" s="9">
        <f>IFERROR(Production[[#This Row],[Qty Produced per Timer cycle]]*60/Production[[#This Row],[Timer]],0)</f>
        <v>1</v>
      </c>
      <c r="AC118" s="9">
        <f>IFERROR(IF(ISBLANK(Production[[#This Row],[Consumption Multiplier override]]),Production[[#This Row],[Production in 1h]]/Production[[#This Row],[Qty Produced per Timer cycle]],Production[[#This Row],[Consumption Multiplier override]]),0)</f>
        <v>1</v>
      </c>
      <c r="AD118" s="4">
        <v>1</v>
      </c>
      <c r="AE118" s="87" t="s">
        <v>890</v>
      </c>
    </row>
    <row r="119" spans="1:31" ht="28.5" x14ac:dyDescent="0.45">
      <c r="A119">
        <v>32</v>
      </c>
      <c r="B119" t="s">
        <v>396</v>
      </c>
      <c r="C119" t="s">
        <v>79</v>
      </c>
      <c r="D119" t="s">
        <v>51</v>
      </c>
      <c r="E119">
        <v>1</v>
      </c>
      <c r="F119" t="s">
        <v>86</v>
      </c>
      <c r="G119">
        <v>400</v>
      </c>
      <c r="H119" t="s">
        <v>85</v>
      </c>
      <c r="I119">
        <v>50</v>
      </c>
      <c r="J119" t="s">
        <v>61</v>
      </c>
      <c r="K119">
        <v>500</v>
      </c>
      <c r="X119" s="4">
        <f>MAX(400/10,50/5)*4</f>
        <v>160</v>
      </c>
      <c r="Y119" s="4">
        <v>1</v>
      </c>
      <c r="Z119" s="88"/>
      <c r="AA119" s="9">
        <f>IFERROR(60/Production[[#This Row],[Production in 1h]],0)</f>
        <v>160</v>
      </c>
      <c r="AB119" s="95">
        <f>IFERROR(Production[[#This Row],[Qty Produced per Timer cycle]]*60/Production[[#This Row],[Timer]],0)</f>
        <v>0.375</v>
      </c>
      <c r="AC119" s="9">
        <f>IFERROR(IF(ISBLANK(Production[[#This Row],[Consumption Multiplier override]]),Production[[#This Row],[Production in 1h]]/Production[[#This Row],[Qty Produced per Timer cycle]],Production[[#This Row],[Consumption Multiplier override]]),0)</f>
        <v>0.375</v>
      </c>
      <c r="AD119" s="4"/>
      <c r="AE119" s="8" t="s">
        <v>494</v>
      </c>
    </row>
    <row r="120" spans="1:31" ht="28.5" x14ac:dyDescent="0.45">
      <c r="A120">
        <v>33</v>
      </c>
      <c r="B120" t="s">
        <v>397</v>
      </c>
      <c r="C120" t="s">
        <v>80</v>
      </c>
      <c r="D120" t="s">
        <v>51</v>
      </c>
      <c r="E120">
        <v>1</v>
      </c>
      <c r="F120" t="s">
        <v>86</v>
      </c>
      <c r="G120">
        <v>400</v>
      </c>
      <c r="H120" t="s">
        <v>85</v>
      </c>
      <c r="I120">
        <v>150</v>
      </c>
      <c r="J120" t="s">
        <v>61</v>
      </c>
      <c r="K120">
        <v>750</v>
      </c>
      <c r="X120" s="4">
        <f>MAX(400/10,150/5)*4</f>
        <v>160</v>
      </c>
      <c r="Y120" s="4">
        <v>1</v>
      </c>
      <c r="Z120" s="88"/>
      <c r="AA120" s="9">
        <f>IFERROR(60/Production[[#This Row],[Production in 1h]],0)</f>
        <v>160</v>
      </c>
      <c r="AB120" s="95">
        <f>IFERROR(Production[[#This Row],[Qty Produced per Timer cycle]]*60/Production[[#This Row],[Timer]],0)</f>
        <v>0.375</v>
      </c>
      <c r="AC120" s="9">
        <f>IFERROR(IF(ISBLANK(Production[[#This Row],[Consumption Multiplier override]]),Production[[#This Row],[Production in 1h]]/Production[[#This Row],[Qty Produced per Timer cycle]],Production[[#This Row],[Consumption Multiplier override]]),0)</f>
        <v>0.375</v>
      </c>
      <c r="AD120" s="4"/>
      <c r="AE120" s="8" t="s">
        <v>494</v>
      </c>
    </row>
    <row r="121" spans="1:31" x14ac:dyDescent="0.45">
      <c r="A121">
        <v>103</v>
      </c>
      <c r="B121" t="s">
        <v>416</v>
      </c>
      <c r="C121" t="s">
        <v>369</v>
      </c>
      <c r="D121" t="s">
        <v>51</v>
      </c>
      <c r="E121">
        <v>1</v>
      </c>
      <c r="F121" t="s">
        <v>422</v>
      </c>
      <c r="G121">
        <v>8</v>
      </c>
      <c r="X121" s="4">
        <v>2</v>
      </c>
      <c r="Y121" s="4">
        <v>1</v>
      </c>
      <c r="Z121" s="88"/>
      <c r="AA121" s="9">
        <f>IFERROR(60/Production[[#This Row],[Production in 1h]],0)</f>
        <v>2</v>
      </c>
      <c r="AB121" s="9">
        <f>IFERROR(Production[[#This Row],[Qty Produced per Timer cycle]]*60/Production[[#This Row],[Timer]],0)</f>
        <v>30</v>
      </c>
      <c r="AC121" s="9">
        <f>IFERROR(IF(ISBLANK(Production[[#This Row],[Consumption Multiplier override]]),Production[[#This Row],[Production in 1h]]/Production[[#This Row],[Qty Produced per Timer cycle]],Production[[#This Row],[Consumption Multiplier override]]),0)</f>
        <v>1</v>
      </c>
      <c r="AD121" s="4">
        <v>1</v>
      </c>
      <c r="AE121" s="8" t="s">
        <v>419</v>
      </c>
    </row>
    <row r="122" spans="1:31" x14ac:dyDescent="0.45">
      <c r="A122">
        <v>104</v>
      </c>
      <c r="B122" t="s">
        <v>647</v>
      </c>
      <c r="C122" t="s">
        <v>370</v>
      </c>
      <c r="D122" t="s">
        <v>51</v>
      </c>
      <c r="E122">
        <v>1</v>
      </c>
      <c r="F122" t="s">
        <v>369</v>
      </c>
      <c r="G122">
        <v>2</v>
      </c>
      <c r="X122" s="4">
        <v>2</v>
      </c>
      <c r="Y122" s="4">
        <v>1</v>
      </c>
      <c r="Z122" s="88"/>
      <c r="AA122" s="9">
        <f>IFERROR(60/Production[[#This Row],[Production in 1h]],0)</f>
        <v>2</v>
      </c>
      <c r="AB122" s="9">
        <f>IFERROR(Production[[#This Row],[Qty Produced per Timer cycle]]*60/Production[[#This Row],[Timer]],0)</f>
        <v>30</v>
      </c>
      <c r="AC122" s="9">
        <f>IFERROR(IF(ISBLANK(Production[[#This Row],[Consumption Multiplier override]]),Production[[#This Row],[Production in 1h]]/Production[[#This Row],[Qty Produced per Timer cycle]],Production[[#This Row],[Consumption Multiplier override]]),0)</f>
        <v>30</v>
      </c>
      <c r="AD122" s="4"/>
      <c r="AE122" s="8" t="s">
        <v>418</v>
      </c>
    </row>
    <row r="123" spans="1:31" ht="28.5" x14ac:dyDescent="0.45">
      <c r="A123">
        <v>31</v>
      </c>
      <c r="B123" t="s">
        <v>896</v>
      </c>
      <c r="C123" t="s">
        <v>78</v>
      </c>
      <c r="D123" t="s">
        <v>51</v>
      </c>
      <c r="E123">
        <v>1</v>
      </c>
      <c r="F123" t="s">
        <v>86</v>
      </c>
      <c r="G123">
        <v>150</v>
      </c>
      <c r="H123" t="s">
        <v>365</v>
      </c>
      <c r="I123">
        <v>150</v>
      </c>
      <c r="J123" t="s">
        <v>61</v>
      </c>
      <c r="K123">
        <v>90</v>
      </c>
      <c r="X123" s="4">
        <f>MAX(150/10,150/5)*4</f>
        <v>120</v>
      </c>
      <c r="Y123" s="4">
        <v>1</v>
      </c>
      <c r="Z123" s="88"/>
      <c r="AA123" s="9">
        <f>IFERROR(60/Production[[#This Row],[Production in 1h]],0)</f>
        <v>120</v>
      </c>
      <c r="AB123" s="95">
        <f>IFERROR(Production[[#This Row],[Qty Produced per Timer cycle]]*60/Production[[#This Row],[Timer]],0)</f>
        <v>0.5</v>
      </c>
      <c r="AC123" s="9">
        <f>IFERROR(IF(ISBLANK(Production[[#This Row],[Consumption Multiplier override]]),Production[[#This Row],[Production in 1h]]/Production[[#This Row],[Qty Produced per Timer cycle]],Production[[#This Row],[Consumption Multiplier override]]),0)</f>
        <v>0.5</v>
      </c>
      <c r="AD123" s="4"/>
      <c r="AE123" s="8" t="s">
        <v>494</v>
      </c>
    </row>
    <row r="124" spans="1:31" ht="28.5" x14ac:dyDescent="0.45">
      <c r="A124">
        <v>30</v>
      </c>
      <c r="B124" t="s">
        <v>897</v>
      </c>
      <c r="C124" t="s">
        <v>77</v>
      </c>
      <c r="D124" t="s">
        <v>51</v>
      </c>
      <c r="E124">
        <v>1</v>
      </c>
      <c r="F124" t="s">
        <v>86</v>
      </c>
      <c r="G124">
        <v>150</v>
      </c>
      <c r="H124" t="s">
        <v>365</v>
      </c>
      <c r="I124">
        <v>50</v>
      </c>
      <c r="J124" t="s">
        <v>61</v>
      </c>
      <c r="K124">
        <v>60</v>
      </c>
      <c r="X124" s="4">
        <f>MAX(150/10,50/5)*4</f>
        <v>60</v>
      </c>
      <c r="Y124" s="4">
        <v>1</v>
      </c>
      <c r="Z124" s="88"/>
      <c r="AA124" s="9">
        <f>IFERROR(60/Production[[#This Row],[Production in 1h]],0)</f>
        <v>60</v>
      </c>
      <c r="AB124" s="95">
        <f>IFERROR(Production[[#This Row],[Qty Produced per Timer cycle]]*60/Production[[#This Row],[Timer]],0)</f>
        <v>1</v>
      </c>
      <c r="AC124" s="9">
        <f>IFERROR(IF(ISBLANK(Production[[#This Row],[Consumption Multiplier override]]),Production[[#This Row],[Production in 1h]]/Production[[#This Row],[Qty Produced per Timer cycle]],Production[[#This Row],[Consumption Multiplier override]]),0)</f>
        <v>1</v>
      </c>
      <c r="AD124" s="4"/>
      <c r="AE124" s="8" t="s">
        <v>494</v>
      </c>
    </row>
    <row r="125" spans="1:31" x14ac:dyDescent="0.45">
      <c r="A125">
        <v>121</v>
      </c>
      <c r="B125" t="s">
        <v>429</v>
      </c>
      <c r="C125" t="s">
        <v>87</v>
      </c>
      <c r="D125" t="s">
        <v>51</v>
      </c>
      <c r="E125">
        <f>3/3</f>
        <v>1</v>
      </c>
      <c r="F125" t="s">
        <v>156</v>
      </c>
      <c r="G125">
        <v>1</v>
      </c>
      <c r="H125" t="s">
        <v>385</v>
      </c>
      <c r="I125">
        <v>1</v>
      </c>
      <c r="X125" s="4">
        <v>4</v>
      </c>
      <c r="Y125" s="4">
        <v>1</v>
      </c>
      <c r="Z125" s="88"/>
      <c r="AA125" s="9">
        <f>IFERROR(60/Production[[#This Row],[Production in 1h]],0)</f>
        <v>4</v>
      </c>
      <c r="AB125" s="9">
        <f>IFERROR(Production[[#This Row],[Qty Produced per Timer cycle]]*60/Production[[#This Row],[Timer]],0)</f>
        <v>15</v>
      </c>
      <c r="AC125" s="9">
        <f>IFERROR(IF(ISBLANK(Production[[#This Row],[Consumption Multiplier override]]),Production[[#This Row],[Production in 1h]]/Production[[#This Row],[Qty Produced per Timer cycle]],Production[[#This Row],[Consumption Multiplier override]]),0)</f>
        <v>15</v>
      </c>
      <c r="AD125" s="4"/>
      <c r="AE125" s="8" t="s">
        <v>450</v>
      </c>
    </row>
    <row r="126" spans="1:31" x14ac:dyDescent="0.45">
      <c r="A126">
        <v>38</v>
      </c>
      <c r="B126" t="s">
        <v>88</v>
      </c>
      <c r="C126" t="s">
        <v>89</v>
      </c>
      <c r="D126" t="s">
        <v>51</v>
      </c>
      <c r="E126">
        <v>1</v>
      </c>
      <c r="F126" t="s">
        <v>53</v>
      </c>
      <c r="G126">
        <v>1</v>
      </c>
      <c r="X126" s="4">
        <v>7</v>
      </c>
      <c r="Y126" s="4">
        <v>1</v>
      </c>
      <c r="Z126" s="88"/>
      <c r="AA126" s="9">
        <f>IFERROR(60/Production[[#This Row],[Production in 1h]],0)</f>
        <v>7</v>
      </c>
      <c r="AB126" s="9">
        <f>IFERROR(Production[[#This Row],[Qty Produced per Timer cycle]]*60/Production[[#This Row],[Timer]],0)</f>
        <v>8.5714285714285712</v>
      </c>
      <c r="AC126" s="9">
        <f>IFERROR(IF(ISBLANK(Production[[#This Row],[Consumption Multiplier override]]),Production[[#This Row],[Production in 1h]]/Production[[#This Row],[Qty Produced per Timer cycle]],Production[[#This Row],[Consumption Multiplier override]]),0)</f>
        <v>1</v>
      </c>
      <c r="AD126" s="4">
        <v>1</v>
      </c>
      <c r="AE126" s="8"/>
    </row>
    <row r="127" spans="1:31" x14ac:dyDescent="0.45">
      <c r="A127">
        <v>70</v>
      </c>
      <c r="B127" t="s">
        <v>846</v>
      </c>
      <c r="C127" t="s">
        <v>137</v>
      </c>
      <c r="D127" t="s">
        <v>51</v>
      </c>
      <c r="E127">
        <v>1</v>
      </c>
      <c r="F127" t="s">
        <v>367</v>
      </c>
      <c r="G127">
        <v>4</v>
      </c>
      <c r="X127" s="4">
        <v>4</v>
      </c>
      <c r="Y127" s="4">
        <v>1</v>
      </c>
      <c r="Z127" s="88"/>
      <c r="AA127" s="9">
        <f>IFERROR(60/Production[[#This Row],[Production in 1h]],0)</f>
        <v>4</v>
      </c>
      <c r="AB127" s="9">
        <f>IFERROR(Production[[#This Row],[Qty Produced per Timer cycle]]*60/Production[[#This Row],[Timer]],0)</f>
        <v>15</v>
      </c>
      <c r="AC127" s="9">
        <f>IFERROR(IF(ISBLANK(Production[[#This Row],[Consumption Multiplier override]]),Production[[#This Row],[Production in 1h]]/Production[[#This Row],[Qty Produced per Timer cycle]],Production[[#This Row],[Consumption Multiplier override]]),0)</f>
        <v>15</v>
      </c>
      <c r="AD127" s="4"/>
      <c r="AE127" s="8" t="s">
        <v>847</v>
      </c>
    </row>
    <row r="128" spans="1:31" ht="28.5" x14ac:dyDescent="0.45">
      <c r="A128">
        <v>20</v>
      </c>
      <c r="B128" t="s">
        <v>334</v>
      </c>
      <c r="C128" t="s">
        <v>331</v>
      </c>
      <c r="D128" t="s">
        <v>51</v>
      </c>
      <c r="E128">
        <v>1</v>
      </c>
      <c r="X128" s="4">
        <v>60</v>
      </c>
      <c r="Y128" s="4">
        <v>1</v>
      </c>
      <c r="Z128" s="88"/>
      <c r="AA128" s="9">
        <f>IFERROR(60/Production[[#This Row],[Production in 1h]],0)</f>
        <v>60</v>
      </c>
      <c r="AB128" s="9">
        <f>IFERROR(Production[[#This Row],[Qty Produced per Timer cycle]]*60/Production[[#This Row],[Timer]],0)</f>
        <v>1</v>
      </c>
      <c r="AC128" s="9">
        <f>IFERROR(IF(ISBLANK(Production[[#This Row],[Consumption Multiplier override]]),Production[[#This Row],[Production in 1h]]/Production[[#This Row],[Qty Produced per Timer cycle]],Production[[#This Row],[Consumption Multiplier override]]),0)</f>
        <v>1</v>
      </c>
      <c r="AD128" s="4"/>
      <c r="AE128" s="8" t="s">
        <v>552</v>
      </c>
    </row>
    <row r="129" spans="1:31" ht="28.5" x14ac:dyDescent="0.45">
      <c r="A129">
        <v>69</v>
      </c>
      <c r="B129" t="s">
        <v>414</v>
      </c>
      <c r="C129" t="s">
        <v>367</v>
      </c>
      <c r="D129" t="s">
        <v>51</v>
      </c>
      <c r="E129">
        <v>1</v>
      </c>
      <c r="F129" t="s">
        <v>366</v>
      </c>
      <c r="G129">
        <v>2</v>
      </c>
      <c r="X129" s="4">
        <f>80/60</f>
        <v>1.3333333333333333</v>
      </c>
      <c r="Y129" s="4">
        <v>1</v>
      </c>
      <c r="Z129" s="88"/>
      <c r="AA129" s="9">
        <f>IFERROR(60/Production[[#This Row],[Production in 1h]],0)</f>
        <v>1.3333333333333333</v>
      </c>
      <c r="AB129" s="9">
        <f>IFERROR(Production[[#This Row],[Qty Produced per Timer cycle]]*60/Production[[#This Row],[Timer]],0)</f>
        <v>45</v>
      </c>
      <c r="AC129" s="9">
        <f>IFERROR(IF(ISBLANK(Production[[#This Row],[Consumption Multiplier override]]),Production[[#This Row],[Production in 1h]]/Production[[#This Row],[Qty Produced per Timer cycle]],Production[[#This Row],[Consumption Multiplier override]]),0)</f>
        <v>45</v>
      </c>
      <c r="AD129" s="4"/>
      <c r="AE129" s="8" t="s">
        <v>136</v>
      </c>
    </row>
    <row r="130" spans="1:31" x14ac:dyDescent="0.45">
      <c r="A130">
        <v>142</v>
      </c>
      <c r="B130" t="s">
        <v>463</v>
      </c>
      <c r="C130" t="s">
        <v>652</v>
      </c>
      <c r="D130" t="s">
        <v>51</v>
      </c>
      <c r="E130">
        <v>1</v>
      </c>
      <c r="F130" t="s">
        <v>110</v>
      </c>
      <c r="G130">
        <v>20</v>
      </c>
      <c r="X130" s="4">
        <v>60</v>
      </c>
      <c r="Y130" s="4">
        <v>1</v>
      </c>
      <c r="Z130" s="88"/>
      <c r="AA130" s="9">
        <f>IFERROR(60/Production[[#This Row],[Production in 1h]],0)</f>
        <v>60</v>
      </c>
      <c r="AB130" s="9">
        <f>IFERROR(Production[[#This Row],[Qty Produced per Timer cycle]]*60/Production[[#This Row],[Timer]],0)</f>
        <v>1</v>
      </c>
      <c r="AC130" s="9">
        <f>IFERROR(IF(ISBLANK(Production[[#This Row],[Consumption Multiplier override]]),Production[[#This Row],[Production in 1h]]/Production[[#This Row],[Qty Produced per Timer cycle]],Production[[#This Row],[Consumption Multiplier override]]),0)</f>
        <v>1</v>
      </c>
      <c r="AD130" s="4">
        <v>1</v>
      </c>
      <c r="AE130" s="8" t="s">
        <v>885</v>
      </c>
    </row>
    <row r="131" spans="1:31" x14ac:dyDescent="0.45">
      <c r="A131">
        <v>58</v>
      </c>
      <c r="B131" t="s">
        <v>114</v>
      </c>
      <c r="C131" t="s">
        <v>113</v>
      </c>
      <c r="D131" t="s">
        <v>51</v>
      </c>
      <c r="E131">
        <v>1</v>
      </c>
      <c r="F131" t="s">
        <v>112</v>
      </c>
      <c r="G131">
        <v>8</v>
      </c>
      <c r="X131" s="4">
        <v>2</v>
      </c>
      <c r="Y131" s="4">
        <v>1</v>
      </c>
      <c r="Z131" s="88"/>
      <c r="AA131" s="9">
        <f>IFERROR(60/Production[[#This Row],[Production in 1h]],0)</f>
        <v>2</v>
      </c>
      <c r="AB131" s="9">
        <f>IFERROR(Production[[#This Row],[Qty Produced per Timer cycle]]*60/Production[[#This Row],[Timer]],0)</f>
        <v>30</v>
      </c>
      <c r="AC131" s="9">
        <f>IFERROR(IF(ISBLANK(Production[[#This Row],[Consumption Multiplier override]]),Production[[#This Row],[Production in 1h]]/Production[[#This Row],[Qty Produced per Timer cycle]],Production[[#This Row],[Consumption Multiplier override]]),0)</f>
        <v>1</v>
      </c>
      <c r="AD131" s="4">
        <v>1</v>
      </c>
      <c r="AE131" s="8"/>
    </row>
    <row r="132" spans="1:31" x14ac:dyDescent="0.45">
      <c r="A132">
        <v>56</v>
      </c>
      <c r="B132" t="s">
        <v>882</v>
      </c>
      <c r="C132" t="s">
        <v>113</v>
      </c>
      <c r="D132" t="s">
        <v>51</v>
      </c>
      <c r="E132">
        <v>1</v>
      </c>
      <c r="X132" s="4">
        <v>16</v>
      </c>
      <c r="Y132" s="4">
        <v>1</v>
      </c>
      <c r="Z132" s="88" t="s">
        <v>113</v>
      </c>
      <c r="AA132" s="9">
        <f>IFERROR(60/Production[[#This Row],[Production in 1h]],0)</f>
        <v>16</v>
      </c>
      <c r="AB132" s="9">
        <f>IFERROR(Production[[#This Row],[Qty Produced per Timer cycle]]*60/Production[[#This Row],[Timer]],0)</f>
        <v>3.75</v>
      </c>
      <c r="AC132" s="9">
        <f>IFERROR(IF(ISBLANK(Production[[#This Row],[Consumption Multiplier override]]),Production[[#This Row],[Production in 1h]]/Production[[#This Row],[Qty Produced per Timer cycle]],Production[[#This Row],[Consumption Multiplier override]]),0)</f>
        <v>1</v>
      </c>
      <c r="AD132" s="4">
        <v>1</v>
      </c>
      <c r="AE132" s="8"/>
    </row>
    <row r="133" spans="1:31" x14ac:dyDescent="0.45">
      <c r="A133">
        <v>57</v>
      </c>
      <c r="B133" t="s">
        <v>112</v>
      </c>
      <c r="C133" t="s">
        <v>112</v>
      </c>
      <c r="D133" t="s">
        <v>51</v>
      </c>
      <c r="E133">
        <v>1</v>
      </c>
      <c r="X133" s="4">
        <v>60</v>
      </c>
      <c r="Y133" s="4">
        <v>1</v>
      </c>
      <c r="Z133" s="88" t="s">
        <v>113</v>
      </c>
      <c r="AA133" s="9">
        <f>IFERROR(60/Production[[#This Row],[Production in 1h]],0)</f>
        <v>60</v>
      </c>
      <c r="AB133" s="9">
        <f>IFERROR(Production[[#This Row],[Qty Produced per Timer cycle]]*60/Production[[#This Row],[Timer]],0)</f>
        <v>1</v>
      </c>
      <c r="AC133" s="9">
        <f>IFERROR(IF(ISBLANK(Production[[#This Row],[Consumption Multiplier override]]),Production[[#This Row],[Production in 1h]]/Production[[#This Row],[Qty Produced per Timer cycle]],Production[[#This Row],[Consumption Multiplier override]]),0)</f>
        <v>1</v>
      </c>
      <c r="AD133" s="4">
        <v>1</v>
      </c>
      <c r="AE133" s="8"/>
    </row>
    <row r="134" spans="1:31" x14ac:dyDescent="0.45">
      <c r="A134">
        <v>82</v>
      </c>
      <c r="B134" t="s">
        <v>157</v>
      </c>
      <c r="C134" t="s">
        <v>368</v>
      </c>
      <c r="D134" t="s">
        <v>51</v>
      </c>
      <c r="E134">
        <v>1</v>
      </c>
      <c r="F134" t="s">
        <v>120</v>
      </c>
      <c r="G134">
        <v>1</v>
      </c>
      <c r="H134" t="s">
        <v>156</v>
      </c>
      <c r="I134">
        <v>2</v>
      </c>
      <c r="X134" s="4">
        <v>16</v>
      </c>
      <c r="Y134" s="4">
        <v>4</v>
      </c>
      <c r="Z134" s="88"/>
      <c r="AA134" s="9">
        <f>IFERROR(60/Production[[#This Row],[Production in 1h]],0)</f>
        <v>4</v>
      </c>
      <c r="AB134" s="9">
        <f>IFERROR(Production[[#This Row],[Qty Produced per Timer cycle]]*60/Production[[#This Row],[Timer]],0)</f>
        <v>15</v>
      </c>
      <c r="AC134" s="9">
        <f>IFERROR(IF(ISBLANK(Production[[#This Row],[Consumption Multiplier override]]),Production[[#This Row],[Production in 1h]]/Production[[#This Row],[Qty Produced per Timer cycle]],Production[[#This Row],[Consumption Multiplier override]]),0)</f>
        <v>3.75</v>
      </c>
      <c r="AD134" s="4"/>
      <c r="AE134" s="8" t="s">
        <v>863</v>
      </c>
    </row>
    <row r="135" spans="1:31" ht="28.5" x14ac:dyDescent="0.45">
      <c r="A135">
        <v>7</v>
      </c>
      <c r="B135" s="8" t="s">
        <v>57</v>
      </c>
      <c r="C135" s="8" t="s">
        <v>61</v>
      </c>
      <c r="D135" s="8" t="s">
        <v>51</v>
      </c>
      <c r="E135" s="8">
        <v>1</v>
      </c>
      <c r="F135" s="8" t="s">
        <v>63</v>
      </c>
      <c r="G135" s="108">
        <f>INDEX(ResidentBuildings[Residents],MATCH(Production[[#This Row],[Building]],ResidentBuildings[Building],0))*INDEX(Consumption[Consumption/person/h],MATCH(Production[[#This Row],[Building]]&amp;" - "&amp;F135,Consumption[LookupValue],0))</f>
        <v>30</v>
      </c>
      <c r="H135" s="8" t="s">
        <v>66</v>
      </c>
      <c r="I135" s="108">
        <f>INDEX(ResidentBuildings[Residents],MATCH(Production[[#This Row],[Building]],ResidentBuildings[Building],0))*INDEX(Consumption[Consumption/person/h],MATCH(Production[[#This Row],[Building]]&amp;" - "&amp;H135,Consumption[LookupValue],0))</f>
        <v>30</v>
      </c>
      <c r="J135" s="8" t="s">
        <v>72</v>
      </c>
      <c r="K135" s="108">
        <f>INDEX(ResidentBuildings[Residents],MATCH(Production[[#This Row],[Building]],ResidentBuildings[Building],0))*INDEX(Consumption[Consumption/person/h],MATCH(Production[[#This Row],[Building]]&amp;" - "&amp;J135,Consumption[LookupValue],0))</f>
        <v>7.5</v>
      </c>
      <c r="L135" s="8" t="s">
        <v>367</v>
      </c>
      <c r="M135" s="108">
        <f>INDEX(ResidentBuildings[Residents],MATCH(Production[[#This Row],[Building]],ResidentBuildings[Building],0))*INDEX(Consumption[Consumption/person/h],MATCH(Production[[#This Row],[Building]]&amp;" - "&amp;L135,Consumption[LookupValue],0))</f>
        <v>4.5</v>
      </c>
      <c r="N135" s="8" t="s">
        <v>108</v>
      </c>
      <c r="O135" s="108">
        <f>INDEX(ResidentBuildings[Residents],MATCH(Production[[#This Row],[Building]],ResidentBuildings[Building],0))*INDEX(Consumption[Consumption/person/h],MATCH(Production[[#This Row],[Building]]&amp;" - "&amp;N135,Consumption[LookupValue],0))</f>
        <v>4.5</v>
      </c>
      <c r="P135" s="8" t="s">
        <v>116</v>
      </c>
      <c r="Q135" s="108">
        <f>INDEX(ResidentBuildings[Residents],MATCH(Production[[#This Row],[Building]],ResidentBuildings[Building],0))*INDEX(Consumption[Consumption/person/h],MATCH(Production[[#This Row],[Building]]&amp;" - "&amp;P135,Consumption[LookupValue],0))</f>
        <v>3</v>
      </c>
      <c r="R135" s="8"/>
      <c r="S135" s="8"/>
      <c r="T135" s="8"/>
      <c r="U135" s="8"/>
      <c r="V135" s="8"/>
      <c r="W135" s="8"/>
      <c r="X135" s="4">
        <v>60</v>
      </c>
      <c r="Y135" s="108">
        <v>10</v>
      </c>
      <c r="Z135" s="88"/>
      <c r="AA135" s="9">
        <f>IFERROR(60/Production[[#This Row],[Production in 1h]],0)</f>
        <v>6</v>
      </c>
      <c r="AB135" s="9">
        <f>IFERROR(Production[[#This Row],[Qty Produced per Timer cycle]]*60/Production[[#This Row],[Timer]],0)</f>
        <v>10</v>
      </c>
      <c r="AC135" s="9">
        <f>IFERROR(IF(ISBLANK(Production[[#This Row],[Consumption Multiplier override]]),Production[[#This Row],[Production in 1h]]/Production[[#This Row],[Qty Produced per Timer cycle]],Production[[#This Row],[Consumption Multiplier override]]),0)</f>
        <v>1</v>
      </c>
      <c r="AD135" s="9">
        <v>1</v>
      </c>
      <c r="AE135" s="8" t="s">
        <v>497</v>
      </c>
    </row>
    <row r="136" spans="1:31" ht="28.5" x14ac:dyDescent="0.45">
      <c r="A136">
        <v>143</v>
      </c>
      <c r="B136" t="s">
        <v>464</v>
      </c>
      <c r="C136" t="s">
        <v>464</v>
      </c>
      <c r="D136" t="s">
        <v>51</v>
      </c>
      <c r="E136">
        <v>1</v>
      </c>
      <c r="F136" t="s">
        <v>384</v>
      </c>
      <c r="G136">
        <v>15</v>
      </c>
      <c r="X136" s="4">
        <v>60</v>
      </c>
      <c r="Y136" s="4">
        <v>1</v>
      </c>
      <c r="Z136" s="88"/>
      <c r="AA136" s="9">
        <f>IFERROR(60/Production[[#This Row],[Production in 1h]],0)</f>
        <v>60</v>
      </c>
      <c r="AB136" s="9">
        <f>IFERROR(Production[[#This Row],[Qty Produced per Timer cycle]]*60/Production[[#This Row],[Timer]],0)</f>
        <v>1</v>
      </c>
      <c r="AC136" s="9">
        <f>IFERROR(IF(ISBLANK(Production[[#This Row],[Consumption Multiplier override]]),Production[[#This Row],[Production in 1h]]/Production[[#This Row],[Qty Produced per Timer cycle]],Production[[#This Row],[Consumption Multiplier override]]),0)</f>
        <v>1</v>
      </c>
      <c r="AD136" s="4"/>
      <c r="AE136" s="8" t="s">
        <v>658</v>
      </c>
    </row>
    <row r="137" spans="1:31" x14ac:dyDescent="0.45">
      <c r="A137">
        <v>127</v>
      </c>
      <c r="B137" t="s">
        <v>883</v>
      </c>
      <c r="C137" t="s">
        <v>437</v>
      </c>
      <c r="D137" t="s">
        <v>51</v>
      </c>
      <c r="E137" s="96">
        <v>1</v>
      </c>
      <c r="G137" s="8"/>
      <c r="X137" s="4">
        <v>16</v>
      </c>
      <c r="Y137" s="4">
        <v>1</v>
      </c>
      <c r="Z137" s="88"/>
      <c r="AA137" s="9">
        <f>IFERROR(60/Production[[#This Row],[Production in 1h]],0)</f>
        <v>16</v>
      </c>
      <c r="AB137" s="9">
        <f>IFERROR(Production[[#This Row],[Qty Produced per Timer cycle]]*60/Production[[#This Row],[Timer]],0)</f>
        <v>3.75</v>
      </c>
      <c r="AC137" s="9">
        <f>IFERROR(IF(ISBLANK(Production[[#This Row],[Consumption Multiplier override]]),Production[[#This Row],[Production in 1h]]/Production[[#This Row],[Qty Produced per Timer cycle]],Production[[#This Row],[Consumption Multiplier override]]),0)</f>
        <v>1</v>
      </c>
      <c r="AD137" s="4">
        <v>1</v>
      </c>
      <c r="AE137" s="87"/>
    </row>
    <row r="138" spans="1:31" x14ac:dyDescent="0.45">
      <c r="A138">
        <v>128</v>
      </c>
      <c r="B138" t="s">
        <v>656</v>
      </c>
      <c r="C138" t="s">
        <v>656</v>
      </c>
      <c r="D138" t="s">
        <v>51</v>
      </c>
      <c r="E138" s="96">
        <v>1</v>
      </c>
      <c r="G138" s="8"/>
      <c r="X138" s="4">
        <v>60</v>
      </c>
      <c r="Y138" s="4">
        <v>1</v>
      </c>
      <c r="Z138" s="88"/>
      <c r="AA138" s="9">
        <f>IFERROR(60/Production[[#This Row],[Production in 1h]],0)</f>
        <v>60</v>
      </c>
      <c r="AB138" s="9">
        <f>IFERROR(Production[[#This Row],[Qty Produced per Timer cycle]]*60/Production[[#This Row],[Timer]],0)</f>
        <v>1</v>
      </c>
      <c r="AC138" s="9">
        <f>IFERROR(IF(ISBLANK(Production[[#This Row],[Consumption Multiplier override]]),Production[[#This Row],[Production in 1h]]/Production[[#This Row],[Qty Produced per Timer cycle]],Production[[#This Row],[Consumption Multiplier override]]),0)</f>
        <v>1</v>
      </c>
      <c r="AD138" s="4">
        <v>1</v>
      </c>
      <c r="AE138" s="87"/>
    </row>
    <row r="139" spans="1:31" x14ac:dyDescent="0.45">
      <c r="A139">
        <v>12</v>
      </c>
      <c r="B139" s="8" t="s">
        <v>500</v>
      </c>
      <c r="C139" s="8"/>
      <c r="D139" s="8" t="s">
        <v>51</v>
      </c>
      <c r="E139" s="96">
        <v>1</v>
      </c>
      <c r="F139" s="8"/>
      <c r="G139" s="8"/>
      <c r="H139" s="8"/>
      <c r="I139" s="8"/>
      <c r="J139" s="8"/>
      <c r="K139" s="8"/>
      <c r="L139" s="8"/>
      <c r="M139" s="8"/>
      <c r="N139" s="8"/>
      <c r="O139" s="8"/>
      <c r="P139" s="8"/>
      <c r="Q139" s="8"/>
      <c r="R139" s="8"/>
      <c r="S139" s="8"/>
      <c r="T139" s="8"/>
      <c r="U139" s="8"/>
      <c r="V139" s="8"/>
      <c r="W139" s="8"/>
      <c r="X139" s="9">
        <v>0</v>
      </c>
      <c r="Y139" s="9">
        <v>0</v>
      </c>
      <c r="Z139" s="87"/>
      <c r="AA139" s="9">
        <f>IFERROR(60/Production[[#This Row],[Production in 1h]],0)</f>
        <v>0</v>
      </c>
      <c r="AB139" s="9">
        <f>IFERROR(Production[[#This Row],[Qty Produced per Timer cycle]]*60/Production[[#This Row],[Timer]],0)</f>
        <v>0</v>
      </c>
      <c r="AC139" s="9">
        <f>IFERROR(IF(ISBLANK(Production[[#This Row],[Consumption Multiplier override]]),Production[[#This Row],[Production in 1h]]/Production[[#This Row],[Qty Produced per Timer cycle]],Production[[#This Row],[Consumption Multiplier override]]),0)</f>
        <v>0</v>
      </c>
      <c r="AD139" s="9"/>
      <c r="AE139" s="87" t="s">
        <v>499</v>
      </c>
    </row>
    <row r="140" spans="1:31" x14ac:dyDescent="0.45">
      <c r="A140">
        <v>21</v>
      </c>
      <c r="B140" t="s">
        <v>503</v>
      </c>
      <c r="D140" t="s">
        <v>51</v>
      </c>
      <c r="E140">
        <v>1</v>
      </c>
      <c r="G140" s="8"/>
      <c r="X140" s="4">
        <v>0</v>
      </c>
      <c r="Y140" s="4">
        <v>0</v>
      </c>
      <c r="Z140" s="88"/>
      <c r="AA140" s="9">
        <f>IFERROR(60/Production[[#This Row],[Production in 1h]],0)</f>
        <v>0</v>
      </c>
      <c r="AB140" s="9">
        <f>IFERROR(Production[[#This Row],[Qty Produced per Timer cycle]]*60/Production[[#This Row],[Timer]],0)</f>
        <v>0</v>
      </c>
      <c r="AC140" s="9">
        <f>IFERROR(IF(ISBLANK(Production[[#This Row],[Consumption Multiplier override]]),Production[[#This Row],[Production in 1h]]/Production[[#This Row],[Qty Produced per Timer cycle]],Production[[#This Row],[Consumption Multiplier override]]),0)</f>
        <v>0</v>
      </c>
      <c r="AD140" s="4"/>
      <c r="AE140" s="87" t="s">
        <v>499</v>
      </c>
    </row>
    <row r="141" spans="1:31" x14ac:dyDescent="0.45">
      <c r="A141">
        <v>46</v>
      </c>
      <c r="B141" t="s">
        <v>505</v>
      </c>
      <c r="D141" t="s">
        <v>51</v>
      </c>
      <c r="E141">
        <v>1</v>
      </c>
      <c r="G141" s="8"/>
      <c r="X141" s="4">
        <v>0</v>
      </c>
      <c r="Y141" s="4">
        <v>0</v>
      </c>
      <c r="Z141" s="88"/>
      <c r="AA141" s="9">
        <f>IFERROR(60/Production[[#This Row],[Production in 1h]],0)</f>
        <v>0</v>
      </c>
      <c r="AB141" s="9">
        <f>IFERROR(Production[[#This Row],[Qty Produced per Timer cycle]]*60/Production[[#This Row],[Timer]],0)</f>
        <v>0</v>
      </c>
      <c r="AC141" s="9">
        <f>IFERROR(IF(ISBLANK(Production[[#This Row],[Consumption Multiplier override]]),Production[[#This Row],[Production in 1h]]/Production[[#This Row],[Qty Produced per Timer cycle]],Production[[#This Row],[Consumption Multiplier override]]),0)</f>
        <v>0</v>
      </c>
      <c r="AD141" s="4"/>
      <c r="AE141" s="87"/>
    </row>
    <row r="142" spans="1:31" x14ac:dyDescent="0.45">
      <c r="A142">
        <v>80</v>
      </c>
      <c r="B142" t="s">
        <v>507</v>
      </c>
      <c r="D142" t="s">
        <v>51</v>
      </c>
      <c r="E142">
        <v>1</v>
      </c>
      <c r="G142" s="8"/>
      <c r="X142" s="4">
        <v>0</v>
      </c>
      <c r="Y142" s="4">
        <v>0</v>
      </c>
      <c r="Z142" s="88"/>
      <c r="AA142" s="9">
        <f>IFERROR(60/Production[[#This Row],[Production in 1h]],0)</f>
        <v>0</v>
      </c>
      <c r="AB142" s="9">
        <f>IFERROR(Production[[#This Row],[Qty Produced per Timer cycle]]*60/Production[[#This Row],[Timer]],0)</f>
        <v>0</v>
      </c>
      <c r="AC142" s="9">
        <f>IFERROR(IF(ISBLANK(Production[[#This Row],[Consumption Multiplier override]]),Production[[#This Row],[Production in 1h]]/Production[[#This Row],[Qty Produced per Timer cycle]],Production[[#This Row],[Consumption Multiplier override]]),0)</f>
        <v>0</v>
      </c>
      <c r="AD142" s="4"/>
      <c r="AE142" s="87"/>
    </row>
    <row r="143" spans="1:31" x14ac:dyDescent="0.45">
      <c r="A143">
        <v>112</v>
      </c>
      <c r="B143" t="s">
        <v>651</v>
      </c>
      <c r="D143" t="s">
        <v>51</v>
      </c>
      <c r="E143" s="96">
        <v>1</v>
      </c>
      <c r="G143" s="8"/>
      <c r="X143" s="4">
        <v>0</v>
      </c>
      <c r="Y143" s="4">
        <v>0</v>
      </c>
      <c r="Z143" s="88"/>
      <c r="AA143" s="9">
        <f>IFERROR(60/Production[[#This Row],[Production in 1h]],0)</f>
        <v>0</v>
      </c>
      <c r="AB143" s="9">
        <f>IFERROR(Production[[#This Row],[Qty Produced per Timer cycle]]*60/Production[[#This Row],[Timer]],0)</f>
        <v>0</v>
      </c>
      <c r="AC143" s="9">
        <f>IFERROR(IF(ISBLANK(Production[[#This Row],[Consumption Multiplier override]]),Production[[#This Row],[Production in 1h]]/Production[[#This Row],[Qty Produced per Timer cycle]],Production[[#This Row],[Consumption Multiplier override]]),0)</f>
        <v>0</v>
      </c>
      <c r="AD143" s="4"/>
      <c r="AE143" s="87" t="s">
        <v>650</v>
      </c>
    </row>
    <row r="144" spans="1:31" ht="28.5" x14ac:dyDescent="0.45">
      <c r="A144">
        <v>2</v>
      </c>
      <c r="B144" s="8" t="s">
        <v>52</v>
      </c>
      <c r="C144" s="8" t="s">
        <v>52</v>
      </c>
      <c r="D144" s="8"/>
      <c r="E144" s="8"/>
      <c r="F144" s="8"/>
      <c r="G144" s="8"/>
      <c r="H144" s="8"/>
      <c r="I144" s="8"/>
      <c r="J144" s="8"/>
      <c r="K144" s="8"/>
      <c r="L144" s="8"/>
      <c r="M144" s="8"/>
      <c r="N144" s="8"/>
      <c r="O144" s="8"/>
      <c r="P144" s="8"/>
      <c r="Q144" s="8"/>
      <c r="R144" s="8"/>
      <c r="S144" s="8"/>
      <c r="T144" s="8"/>
      <c r="U144" s="8"/>
      <c r="V144" s="8"/>
      <c r="W144" s="8"/>
      <c r="X144" s="4">
        <v>60</v>
      </c>
      <c r="Y144" s="9">
        <f>1</f>
        <v>1</v>
      </c>
      <c r="Z144" s="88"/>
      <c r="AA144" s="9">
        <f>IFERROR(60/Production[[#This Row],[Production in 1h]],0)</f>
        <v>60</v>
      </c>
      <c r="AB144" s="9">
        <f>IFERROR(Production[[#This Row],[Qty Produced per Timer cycle]]*60/Production[[#This Row],[Timer]],0)</f>
        <v>1</v>
      </c>
      <c r="AC144" s="9">
        <f>IFERROR(IF(ISBLANK(Production[[#This Row],[Consumption Multiplier override]]),Production[[#This Row],[Production in 1h]]/Production[[#This Row],[Qty Produced per Timer cycle]],Production[[#This Row],[Consumption Multiplier override]]),0)</f>
        <v>1</v>
      </c>
      <c r="AD144" s="9"/>
      <c r="AE144" s="8" t="s">
        <v>392</v>
      </c>
    </row>
    <row r="145" spans="1:31" x14ac:dyDescent="0.45">
      <c r="A145">
        <v>45</v>
      </c>
      <c r="B145" t="s">
        <v>100</v>
      </c>
      <c r="C145" t="s">
        <v>367</v>
      </c>
      <c r="D145" t="s">
        <v>51</v>
      </c>
      <c r="E145">
        <v>2</v>
      </c>
      <c r="F145" t="s">
        <v>366</v>
      </c>
      <c r="G145">
        <v>2</v>
      </c>
      <c r="X145" s="4">
        <v>2</v>
      </c>
      <c r="Y145" s="4">
        <v>1</v>
      </c>
      <c r="Z145" s="88"/>
      <c r="AA145" s="9">
        <f>IFERROR(60/Production[[#This Row],[Production in 1h]],0)</f>
        <v>2</v>
      </c>
      <c r="AB145" s="9">
        <f>IFERROR(Production[[#This Row],[Qty Produced per Timer cycle]]*60/Production[[#This Row],[Timer]],0)</f>
        <v>30</v>
      </c>
      <c r="AC145" s="9">
        <f>IFERROR(IF(ISBLANK(Production[[#This Row],[Consumption Multiplier override]]),Production[[#This Row],[Production in 1h]]/Production[[#This Row],[Qty Produced per Timer cycle]],Production[[#This Row],[Consumption Multiplier override]]),0)</f>
        <v>30</v>
      </c>
      <c r="AD145" s="4"/>
      <c r="AE145" s="8" t="s">
        <v>135</v>
      </c>
    </row>
    <row r="146" spans="1:31" x14ac:dyDescent="0.45">
      <c r="A146">
        <v>13</v>
      </c>
      <c r="B146" t="s">
        <v>333</v>
      </c>
      <c r="C146" t="s">
        <v>330</v>
      </c>
      <c r="D146" s="8" t="s">
        <v>51</v>
      </c>
      <c r="E146" s="96">
        <v>1</v>
      </c>
      <c r="X146" s="4">
        <v>60</v>
      </c>
      <c r="Y146" s="4">
        <v>1</v>
      </c>
      <c r="Z146" s="88"/>
      <c r="AA146" s="9">
        <f>IFERROR(60/Production[[#This Row],[Production in 1h]],0)</f>
        <v>60</v>
      </c>
      <c r="AB146" s="9">
        <f>IFERROR(Production[[#This Row],[Qty Produced per Timer cycle]]*60/Production[[#This Row],[Timer]],0)</f>
        <v>1</v>
      </c>
      <c r="AC146" s="9">
        <f>IFERROR(IF(ISBLANK(Production[[#This Row],[Consumption Multiplier override]]),Production[[#This Row],[Production in 1h]]/Production[[#This Row],[Qty Produced per Timer cycle]],Production[[#This Row],[Consumption Multiplier override]]),0)</f>
        <v>1</v>
      </c>
      <c r="AD146" s="4"/>
      <c r="AE146" s="8" t="s">
        <v>347</v>
      </c>
    </row>
    <row r="147" spans="1:31" x14ac:dyDescent="0.45">
      <c r="A147">
        <v>50</v>
      </c>
      <c r="B147" t="s">
        <v>103</v>
      </c>
      <c r="C147" t="s">
        <v>102</v>
      </c>
      <c r="D147" t="s">
        <v>51</v>
      </c>
      <c r="E147">
        <v>1</v>
      </c>
      <c r="F147" t="s">
        <v>101</v>
      </c>
      <c r="G147">
        <v>8</v>
      </c>
      <c r="X147" s="4">
        <v>2</v>
      </c>
      <c r="Y147" s="4">
        <v>1</v>
      </c>
      <c r="Z147" s="88"/>
      <c r="AA147" s="9">
        <f>IFERROR(60/Production[[#This Row],[Production in 1h]],0)</f>
        <v>2</v>
      </c>
      <c r="AB147" s="9">
        <f>IFERROR(Production[[#This Row],[Qty Produced per Timer cycle]]*60/Production[[#This Row],[Timer]],0)</f>
        <v>30</v>
      </c>
      <c r="AC147" s="9">
        <f>IFERROR(IF(ISBLANK(Production[[#This Row],[Consumption Multiplier override]]),Production[[#This Row],[Production in 1h]]/Production[[#This Row],[Qty Produced per Timer cycle]],Production[[#This Row],[Consumption Multiplier override]]),0)</f>
        <v>1</v>
      </c>
      <c r="AD147" s="4">
        <v>1</v>
      </c>
      <c r="AE147" s="8"/>
    </row>
    <row r="148" spans="1:31" x14ac:dyDescent="0.45">
      <c r="A148">
        <v>48</v>
      </c>
      <c r="B148" t="s">
        <v>884</v>
      </c>
      <c r="C148" t="s">
        <v>102</v>
      </c>
      <c r="D148" t="s">
        <v>51</v>
      </c>
      <c r="E148">
        <v>1</v>
      </c>
      <c r="X148" s="4">
        <v>16</v>
      </c>
      <c r="Y148" s="4">
        <v>1</v>
      </c>
      <c r="Z148" s="88" t="s">
        <v>102</v>
      </c>
      <c r="AA148" s="9">
        <f>IFERROR(60/Production[[#This Row],[Production in 1h]],0)</f>
        <v>16</v>
      </c>
      <c r="AB148" s="9">
        <f>IFERROR(Production[[#This Row],[Qty Produced per Timer cycle]]*60/Production[[#This Row],[Timer]],0)</f>
        <v>3.75</v>
      </c>
      <c r="AC148" s="9">
        <f>IFERROR(IF(ISBLANK(Production[[#This Row],[Consumption Multiplier override]]),Production[[#This Row],[Production in 1h]]/Production[[#This Row],[Qty Produced per Timer cycle]],Production[[#This Row],[Consumption Multiplier override]]),0)</f>
        <v>1</v>
      </c>
      <c r="AD148" s="4">
        <v>1</v>
      </c>
      <c r="AE148" s="8"/>
    </row>
    <row r="149" spans="1:31" x14ac:dyDescent="0.45">
      <c r="A149">
        <v>49</v>
      </c>
      <c r="B149" t="s">
        <v>101</v>
      </c>
      <c r="C149" t="s">
        <v>101</v>
      </c>
      <c r="D149" t="s">
        <v>51</v>
      </c>
      <c r="E149">
        <v>1</v>
      </c>
      <c r="X149" s="4">
        <v>60</v>
      </c>
      <c r="Y149" s="4">
        <v>1</v>
      </c>
      <c r="Z149" s="88" t="s">
        <v>102</v>
      </c>
      <c r="AA149" s="9">
        <f>IFERROR(60/Production[[#This Row],[Production in 1h]],0)</f>
        <v>60</v>
      </c>
      <c r="AB149" s="9">
        <f>IFERROR(Production[[#This Row],[Qty Produced per Timer cycle]]*60/Production[[#This Row],[Timer]],0)</f>
        <v>1</v>
      </c>
      <c r="AC149" s="9">
        <f>IFERROR(IF(ISBLANK(Production[[#This Row],[Consumption Multiplier override]]),Production[[#This Row],[Production in 1h]]/Production[[#This Row],[Qty Produced per Timer cycle]],Production[[#This Row],[Consumption Multiplier override]]),0)</f>
        <v>1</v>
      </c>
      <c r="AD149" s="4">
        <v>1</v>
      </c>
      <c r="AE149" s="8"/>
    </row>
    <row r="150" spans="1:31" x14ac:dyDescent="0.45">
      <c r="A150">
        <v>51</v>
      </c>
      <c r="B150" t="s">
        <v>104</v>
      </c>
      <c r="C150" t="s">
        <v>105</v>
      </c>
      <c r="D150" t="s">
        <v>51</v>
      </c>
      <c r="E150">
        <v>1</v>
      </c>
      <c r="F150" t="s">
        <v>102</v>
      </c>
      <c r="G150">
        <v>2</v>
      </c>
      <c r="X150" s="4">
        <v>2</v>
      </c>
      <c r="Y150" s="4">
        <v>1</v>
      </c>
      <c r="Z150" s="88"/>
      <c r="AA150" s="9">
        <f>IFERROR(60/Production[[#This Row],[Production in 1h]],0)</f>
        <v>2</v>
      </c>
      <c r="AB150" s="9">
        <f>IFERROR(Production[[#This Row],[Qty Produced per Timer cycle]]*60/Production[[#This Row],[Timer]],0)</f>
        <v>30</v>
      </c>
      <c r="AC150" s="9">
        <f>IFERROR(IF(ISBLANK(Production[[#This Row],[Consumption Multiplier override]]),Production[[#This Row],[Production in 1h]]/Production[[#This Row],[Qty Produced per Timer cycle]],Production[[#This Row],[Consumption Multiplier override]]),0)</f>
        <v>30</v>
      </c>
      <c r="AD150" s="4"/>
      <c r="AE150" s="8" t="s">
        <v>106</v>
      </c>
    </row>
    <row r="151" spans="1:31" ht="28.5" x14ac:dyDescent="0.45">
      <c r="A151">
        <v>131</v>
      </c>
      <c r="B151" t="s">
        <v>657</v>
      </c>
      <c r="C151" t="s">
        <v>382</v>
      </c>
      <c r="D151" t="s">
        <v>51</v>
      </c>
      <c r="E151">
        <v>1</v>
      </c>
      <c r="F151" t="s">
        <v>437</v>
      </c>
      <c r="G151">
        <v>4</v>
      </c>
      <c r="H151" t="s">
        <v>381</v>
      </c>
      <c r="I151">
        <v>2</v>
      </c>
      <c r="X151" s="4">
        <v>4</v>
      </c>
      <c r="Y151" s="4">
        <v>3</v>
      </c>
      <c r="Z151" s="88"/>
      <c r="AA151" s="9">
        <f>IFERROR(60/Production[[#This Row],[Production in 1h]],0)</f>
        <v>1.3333333333333333</v>
      </c>
      <c r="AB151" s="9">
        <f>IFERROR(Production[[#This Row],[Qty Produced per Timer cycle]]*60/Production[[#This Row],[Timer]],0)</f>
        <v>45</v>
      </c>
      <c r="AC151" s="9">
        <f>IFERROR(IF(ISBLANK(Production[[#This Row],[Consumption Multiplier override]]),Production[[#This Row],[Production in 1h]]/Production[[#This Row],[Qty Produced per Timer cycle]],Production[[#This Row],[Consumption Multiplier override]]),0)</f>
        <v>15</v>
      </c>
      <c r="AD151" s="4"/>
      <c r="AE151" s="8" t="s">
        <v>455</v>
      </c>
    </row>
    <row r="152" spans="1:31" x14ac:dyDescent="0.45">
      <c r="A152">
        <v>129</v>
      </c>
      <c r="B152" t="s">
        <v>436</v>
      </c>
      <c r="C152" t="s">
        <v>437</v>
      </c>
      <c r="D152" t="s">
        <v>51</v>
      </c>
      <c r="E152">
        <v>1</v>
      </c>
      <c r="F152" t="s">
        <v>656</v>
      </c>
      <c r="G152">
        <v>12</v>
      </c>
      <c r="X152" s="4">
        <f>4/3</f>
        <v>1.3333333333333333</v>
      </c>
      <c r="Y152" s="4">
        <v>1</v>
      </c>
      <c r="Z152" s="88" t="s">
        <v>437</v>
      </c>
      <c r="AA152" s="9">
        <f>IFERROR(60/Production[[#This Row],[Production in 1h]],0)</f>
        <v>1.3333333333333333</v>
      </c>
      <c r="AB152" s="9">
        <f>IFERROR(Production[[#This Row],[Qty Produced per Timer cycle]]*60/Production[[#This Row],[Timer]],0)</f>
        <v>45</v>
      </c>
      <c r="AC152" s="9">
        <f>IFERROR(IF(ISBLANK(Production[[#This Row],[Consumption Multiplier override]]),Production[[#This Row],[Production in 1h]]/Production[[#This Row],[Qty Produced per Timer cycle]],Production[[#This Row],[Consumption Multiplier override]]),0)</f>
        <v>1</v>
      </c>
      <c r="AD152" s="4">
        <v>1</v>
      </c>
      <c r="AE152" s="8"/>
    </row>
  </sheetData>
  <phoneticPr fontId="19" type="noConversion"/>
  <hyperlinks>
    <hyperlink ref="A5" r:id="rId1" xr:uid="{1062A87D-BF38-4AD0-9DB3-033E58E7049B}"/>
    <hyperlink ref="A8" r:id="rId2" xr:uid="{C9028951-42D7-4BBE-81FE-6AB3143424C2}"/>
  </hyperlinks>
  <pageMargins left="0.7" right="0.7" top="0.75" bottom="0.75" header="0.3" footer="0.3"/>
  <pageSetup paperSize="9" orientation="portrait" horizontalDpi="4294967293" verticalDpi="0" r:id="rId3"/>
  <tableParts count="4">
    <tablePart r:id="rId4"/>
    <tablePart r:id="rId5"/>
    <tablePart r:id="rId6"/>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89B0C-E96C-4EBC-9919-7A7EB4C05BBB}">
  <sheetPr>
    <tabColor rgb="FFC00000"/>
  </sheetPr>
  <dimension ref="A1:R44"/>
  <sheetViews>
    <sheetView showGridLines="0" workbookViewId="0"/>
  </sheetViews>
  <sheetFormatPr defaultRowHeight="14.25" x14ac:dyDescent="0.45"/>
  <cols>
    <col min="1" max="1" width="2.9296875" customWidth="1"/>
    <col min="2" max="2" width="11.73046875" customWidth="1"/>
    <col min="3" max="3" width="17.796875" customWidth="1"/>
    <col min="4" max="4" width="23.3984375" customWidth="1"/>
    <col min="5" max="5" width="21.9296875" customWidth="1"/>
    <col min="6" max="6" width="10.33203125" bestFit="1" customWidth="1"/>
    <col min="7" max="7" width="24.86328125" bestFit="1" customWidth="1"/>
    <col min="8" max="8" width="24.59765625" customWidth="1"/>
    <col min="9" max="9" width="26.33203125" customWidth="1"/>
    <col min="11" max="11" width="12" customWidth="1"/>
    <col min="12" max="12" width="23.265625" bestFit="1" customWidth="1"/>
    <col min="13" max="13" width="8.59765625" bestFit="1" customWidth="1"/>
    <col min="14" max="14" width="8.33203125" bestFit="1" customWidth="1"/>
    <col min="15" max="15" width="9.1328125" bestFit="1" customWidth="1"/>
    <col min="16" max="16" width="15.1328125" bestFit="1" customWidth="1"/>
    <col min="17" max="17" width="17.33203125" bestFit="1" customWidth="1"/>
    <col min="18" max="18" width="31.53125" bestFit="1" customWidth="1"/>
  </cols>
  <sheetData>
    <row r="1" spans="1:18" ht="23.25" x14ac:dyDescent="0.7">
      <c r="A1" s="1" t="s">
        <v>2</v>
      </c>
    </row>
    <row r="3" spans="1:18" ht="19.899999999999999" thickBot="1" x14ac:dyDescent="0.65">
      <c r="B3" s="6" t="s">
        <v>34</v>
      </c>
      <c r="K3" s="6" t="s">
        <v>36</v>
      </c>
    </row>
    <row r="4" spans="1:18" ht="16.149999999999999" thickTop="1" x14ac:dyDescent="0.45">
      <c r="D4" s="24" t="s">
        <v>29</v>
      </c>
      <c r="E4" s="27">
        <f>SUM(BattleComparison[Paragon Health])</f>
        <v>1500</v>
      </c>
      <c r="G4" s="27">
        <f>SUM(BattleComparison[Orc Health])</f>
        <v>1500</v>
      </c>
      <c r="H4" s="25" t="s">
        <v>33</v>
      </c>
      <c r="K4" s="13" t="s">
        <v>223</v>
      </c>
    </row>
    <row r="5" spans="1:18" ht="16.149999999999999" thickBot="1" x14ac:dyDescent="0.5">
      <c r="D5" s="24" t="s">
        <v>231</v>
      </c>
      <c r="E5" s="27">
        <f>SUM(BattleComparison[Paragon Expected Attack])</f>
        <v>1620</v>
      </c>
      <c r="G5" s="27">
        <f>SUM(BattleComparison[Orc Expected Attack])</f>
        <v>1440</v>
      </c>
      <c r="H5" s="25" t="s">
        <v>232</v>
      </c>
      <c r="K5" s="13" t="s">
        <v>298</v>
      </c>
    </row>
    <row r="6" spans="1:18" ht="63.4" thickBot="1" x14ac:dyDescent="0.5">
      <c r="D6" s="30" t="s">
        <v>234</v>
      </c>
      <c r="E6" s="26">
        <f>IFERROR(E5/G4,1)</f>
        <v>1.08</v>
      </c>
      <c r="G6" s="26">
        <f>IFERROR(G5/E4,1)</f>
        <v>0.96</v>
      </c>
      <c r="H6" s="31" t="s">
        <v>235</v>
      </c>
      <c r="I6" s="17" t="s">
        <v>233</v>
      </c>
      <c r="K6" s="49" t="s">
        <v>299</v>
      </c>
    </row>
    <row r="7" spans="1:18" ht="21.75" x14ac:dyDescent="0.45">
      <c r="D7" s="29" t="s">
        <v>35</v>
      </c>
      <c r="E7" s="28">
        <v>0</v>
      </c>
      <c r="G7" s="28">
        <v>0.2</v>
      </c>
      <c r="I7" s="17" t="s">
        <v>227</v>
      </c>
    </row>
    <row r="8" spans="1:18" ht="21.75" x14ac:dyDescent="0.45">
      <c r="E8" s="28">
        <v>2</v>
      </c>
      <c r="G8" s="28">
        <v>0.5</v>
      </c>
      <c r="I8" s="17" t="s">
        <v>228</v>
      </c>
    </row>
    <row r="9" spans="1:18" ht="53.25" x14ac:dyDescent="0.45">
      <c r="O9" s="17" t="s">
        <v>224</v>
      </c>
      <c r="P9" s="17" t="s">
        <v>236</v>
      </c>
      <c r="Q9" s="17" t="s">
        <v>225</v>
      </c>
      <c r="R9" s="17" t="s">
        <v>226</v>
      </c>
    </row>
    <row r="10" spans="1:18" ht="28.5" x14ac:dyDescent="0.45">
      <c r="B10" s="8" t="s">
        <v>25</v>
      </c>
      <c r="C10" s="8" t="s">
        <v>26</v>
      </c>
      <c r="D10" s="8" t="s">
        <v>27</v>
      </c>
      <c r="E10" s="8" t="s">
        <v>229</v>
      </c>
      <c r="F10" s="8" t="s">
        <v>30</v>
      </c>
      <c r="G10" s="8" t="s">
        <v>31</v>
      </c>
      <c r="H10" s="8" t="s">
        <v>32</v>
      </c>
      <c r="I10" s="8" t="s">
        <v>230</v>
      </c>
      <c r="K10" s="8" t="s">
        <v>3</v>
      </c>
      <c r="L10" s="8" t="s">
        <v>4</v>
      </c>
      <c r="M10" s="8" t="s">
        <v>5</v>
      </c>
      <c r="N10" s="8" t="s">
        <v>6</v>
      </c>
      <c r="O10" s="8" t="s">
        <v>7</v>
      </c>
      <c r="P10" s="8" t="s">
        <v>28</v>
      </c>
      <c r="Q10" s="8" t="s">
        <v>14</v>
      </c>
      <c r="R10" s="8" t="s">
        <v>11</v>
      </c>
    </row>
    <row r="11" spans="1:18" ht="15.75" x14ac:dyDescent="0.45">
      <c r="B11" s="37">
        <v>0</v>
      </c>
      <c r="C11" t="s">
        <v>9</v>
      </c>
      <c r="D11" s="39">
        <f>IFERROR(INDEX(Units[Health],MATCH(BattleComparison[[#This Row],[Paragon Unit]],Units[Unit],0)),0)*BattleComparison[[#This Row],[Paragon Quantity]]</f>
        <v>0</v>
      </c>
      <c r="E11" s="39">
        <f>IFERROR(INDEX(Units[Expected Attack],MATCH(BattleComparison[[#This Row],[Paragon Unit]],Units[Unit],0)),0)*BattleComparison[[#This Row],[Paragon Quantity]]</f>
        <v>0</v>
      </c>
      <c r="F11" s="37">
        <v>0</v>
      </c>
      <c r="G11" t="s">
        <v>181</v>
      </c>
      <c r="H11" s="39">
        <f>IFERROR(INDEX(Units[Health],MATCH(BattleComparison[[#This Row],[Orc Unit]],Units[Unit],0)),0)*BattleComparison[[#This Row],[Orc Quantity]]</f>
        <v>0</v>
      </c>
      <c r="I11" s="39">
        <f>IFERROR(INDEX(Units[Expected Attack],MATCH(BattleComparison[[#This Row],[Orc Unit]],Units[Unit],0)),0)*BattleComparison[[#This Row],[Orc Quantity]]</f>
        <v>0</v>
      </c>
      <c r="K11" t="s">
        <v>8</v>
      </c>
      <c r="L11" t="s">
        <v>9</v>
      </c>
      <c r="M11">
        <v>15</v>
      </c>
      <c r="N11">
        <v>5</v>
      </c>
      <c r="O11" s="3">
        <v>0.8</v>
      </c>
      <c r="P11" s="33">
        <f>Units[[#This Row],[Attack]]*(1+Units[[#This Row],[Double]])</f>
        <v>9</v>
      </c>
      <c r="Q11">
        <v>1</v>
      </c>
    </row>
    <row r="12" spans="1:18" ht="15.75" x14ac:dyDescent="0.45">
      <c r="B12" s="37">
        <v>0</v>
      </c>
      <c r="C12" t="s">
        <v>10</v>
      </c>
      <c r="D12" s="39">
        <f>IFERROR(INDEX(Units[Health],MATCH(BattleComparison[[#This Row],[Paragon Unit]],Units[Unit],0)),0)*BattleComparison[[#This Row],[Paragon Quantity]]</f>
        <v>0</v>
      </c>
      <c r="E12" s="39">
        <f>IFERROR(INDEX(Units[Expected Attack],MATCH(BattleComparison[[#This Row],[Paragon Unit]],Units[Unit],0)),0)*BattleComparison[[#This Row],[Paragon Quantity]]</f>
        <v>0</v>
      </c>
      <c r="F12" s="37"/>
      <c r="G12" t="s">
        <v>194</v>
      </c>
      <c r="H12" s="39">
        <f>IFERROR(INDEX(Units[Health],MATCH(BattleComparison[[#This Row],[Orc Unit]],Units[Unit],0)),0)*BattleComparison[[#This Row],[Orc Quantity]]</f>
        <v>0</v>
      </c>
      <c r="I12" s="39">
        <f>IFERROR(INDEX(Units[Expected Attack],MATCH(BattleComparison[[#This Row],[Orc Unit]],Units[Unit],0)),0)*BattleComparison[[#This Row],[Orc Quantity]]</f>
        <v>0</v>
      </c>
      <c r="K12" t="s">
        <v>8</v>
      </c>
      <c r="L12" t="s">
        <v>10</v>
      </c>
      <c r="M12">
        <v>10</v>
      </c>
      <c r="N12">
        <v>20</v>
      </c>
      <c r="O12" s="3">
        <v>0.8</v>
      </c>
      <c r="P12" s="33">
        <f>Units[[#This Row],[Attack]]*(1+Units[[#This Row],[Double]])</f>
        <v>36</v>
      </c>
      <c r="Q12">
        <v>6</v>
      </c>
      <c r="R12" t="s">
        <v>12</v>
      </c>
    </row>
    <row r="13" spans="1:18" ht="15.75" x14ac:dyDescent="0.45">
      <c r="B13" s="37">
        <v>30</v>
      </c>
      <c r="C13" t="s">
        <v>393</v>
      </c>
      <c r="D13" s="39">
        <f>IFERROR(INDEX(Units[Health],MATCH(BattleComparison[[#This Row],[Paragon Unit]],Units[Unit],0)),0)*BattleComparison[[#This Row],[Paragon Quantity]]</f>
        <v>1200</v>
      </c>
      <c r="E13" s="39">
        <f>IFERROR(INDEX(Units[Expected Attack],MATCH(BattleComparison[[#This Row],[Paragon Unit]],Units[Unit],0)),0)*BattleComparison[[#This Row],[Paragon Quantity]]</f>
        <v>810</v>
      </c>
      <c r="F13" s="37">
        <v>30</v>
      </c>
      <c r="G13" s="2" t="s">
        <v>193</v>
      </c>
      <c r="H13" s="39">
        <f>IFERROR(INDEX(Units[Health],MATCH(BattleComparison[[#This Row],[Orc Unit]],Units[Unit],0)),0)*BattleComparison[[#This Row],[Orc Quantity]]</f>
        <v>1200</v>
      </c>
      <c r="I13" s="39">
        <f>IFERROR(INDEX(Units[Expected Attack],MATCH(BattleComparison[[#This Row],[Orc Unit]],Units[Unit],0)),0)*BattleComparison[[#This Row],[Orc Quantity]]</f>
        <v>720</v>
      </c>
      <c r="K13" t="s">
        <v>8</v>
      </c>
      <c r="L13" t="s">
        <v>393</v>
      </c>
      <c r="M13">
        <v>40</v>
      </c>
      <c r="N13">
        <v>15</v>
      </c>
      <c r="O13" s="3">
        <v>0.8</v>
      </c>
      <c r="P13" s="33">
        <f>Units[[#This Row],[Attack]]*(1+Units[[#This Row],[Double]])</f>
        <v>27</v>
      </c>
      <c r="Q13">
        <v>2</v>
      </c>
    </row>
    <row r="14" spans="1:18" ht="15.75" x14ac:dyDescent="0.45">
      <c r="B14" s="37">
        <v>0</v>
      </c>
      <c r="C14" t="s">
        <v>13</v>
      </c>
      <c r="D14" s="39">
        <f>IFERROR(INDEX(Units[Health],MATCH(BattleComparison[[#This Row],[Paragon Unit]],Units[Unit],0)),0)*BattleComparison[[#This Row],[Paragon Quantity]]</f>
        <v>0</v>
      </c>
      <c r="E14" s="39">
        <f>IFERROR(INDEX(Units[Expected Attack],MATCH(BattleComparison[[#This Row],[Paragon Unit]],Units[Unit],0)),0)*BattleComparison[[#This Row],[Paragon Quantity]]</f>
        <v>0</v>
      </c>
      <c r="F14" s="37">
        <v>0</v>
      </c>
      <c r="G14" t="s">
        <v>195</v>
      </c>
      <c r="H14" s="39">
        <f>IFERROR(INDEX(Units[Health],MATCH(BattleComparison[[#This Row],[Orc Unit]],Units[Unit],0)),0)*BattleComparison[[#This Row],[Orc Quantity]]</f>
        <v>0</v>
      </c>
      <c r="I14" s="39">
        <f>IFERROR(INDEX(Units[Expected Attack],MATCH(BattleComparison[[#This Row],[Orc Unit]],Units[Unit],0)),0)*BattleComparison[[#This Row],[Orc Quantity]]</f>
        <v>0</v>
      </c>
      <c r="K14" t="s">
        <v>8</v>
      </c>
      <c r="L14" t="s">
        <v>13</v>
      </c>
      <c r="M14">
        <v>5</v>
      </c>
      <c r="N14">
        <v>5</v>
      </c>
      <c r="O14" s="3">
        <v>0.8</v>
      </c>
      <c r="P14" s="33">
        <f>Units[[#This Row],[Attack]]*(1+Units[[#This Row],[Double]])</f>
        <v>9</v>
      </c>
      <c r="Q14">
        <v>5</v>
      </c>
      <c r="R14" t="s">
        <v>20</v>
      </c>
    </row>
    <row r="15" spans="1:18" ht="15.75" x14ac:dyDescent="0.45">
      <c r="B15" s="37">
        <v>30</v>
      </c>
      <c r="C15" t="s">
        <v>15</v>
      </c>
      <c r="D15" s="39">
        <f>IFERROR(INDEX(Units[Health],MATCH(BattleComparison[[#This Row],[Paragon Unit]],Units[Unit],0)),0)*BattleComparison[[#This Row],[Paragon Quantity]]</f>
        <v>300</v>
      </c>
      <c r="E15" s="39">
        <f>IFERROR(INDEX(Units[Expected Attack],MATCH(BattleComparison[[#This Row],[Paragon Unit]],Units[Unit],0)),0)*BattleComparison[[#This Row],[Paragon Quantity]]</f>
        <v>810</v>
      </c>
      <c r="F15" s="37">
        <v>30</v>
      </c>
      <c r="G15" t="s">
        <v>196</v>
      </c>
      <c r="H15" s="39">
        <f>IFERROR(INDEX(Units[Health],MATCH(BattleComparison[[#This Row],[Orc Unit]],Units[Unit],0)),0)*BattleComparison[[#This Row],[Orc Quantity]]</f>
        <v>300</v>
      </c>
      <c r="I15" s="39">
        <f>IFERROR(INDEX(Units[Expected Attack],MATCH(BattleComparison[[#This Row],[Orc Unit]],Units[Unit],0)),0)*BattleComparison[[#This Row],[Orc Quantity]]</f>
        <v>720</v>
      </c>
      <c r="K15" t="s">
        <v>8</v>
      </c>
      <c r="L15" t="s">
        <v>15</v>
      </c>
      <c r="M15">
        <v>10</v>
      </c>
      <c r="N15">
        <v>15</v>
      </c>
      <c r="O15" s="3">
        <v>0.8</v>
      </c>
      <c r="P15" s="33">
        <f>Units[[#This Row],[Attack]]*(1+Units[[#This Row],[Double]])</f>
        <v>27</v>
      </c>
      <c r="Q15">
        <v>7</v>
      </c>
      <c r="R15" t="s">
        <v>21</v>
      </c>
    </row>
    <row r="16" spans="1:18" ht="15.75" x14ac:dyDescent="0.45">
      <c r="B16" s="37">
        <v>0</v>
      </c>
      <c r="C16" t="s">
        <v>16</v>
      </c>
      <c r="D16" s="39">
        <f>IFERROR(INDEX(Units[Health],MATCH(BattleComparison[[#This Row],[Paragon Unit]],Units[Unit],0)),0)*BattleComparison[[#This Row],[Paragon Quantity]]</f>
        <v>0</v>
      </c>
      <c r="E16" s="39">
        <f>IFERROR(INDEX(Units[Expected Attack],MATCH(BattleComparison[[#This Row],[Paragon Unit]],Units[Unit],0)),0)*BattleComparison[[#This Row],[Paragon Quantity]]</f>
        <v>0</v>
      </c>
      <c r="F16" s="37">
        <v>0</v>
      </c>
      <c r="G16" t="s">
        <v>198</v>
      </c>
      <c r="H16" s="39">
        <f>IFERROR(INDEX(Units[Health],MATCH(BattleComparison[[#This Row],[Orc Unit]],Units[Unit],0)),0)*BattleComparison[[#This Row],[Orc Quantity]]</f>
        <v>0</v>
      </c>
      <c r="I16" s="39">
        <f>IFERROR(INDEX(Units[Expected Attack],MATCH(BattleComparison[[#This Row],[Orc Unit]],Units[Unit],0)),0)*BattleComparison[[#This Row],[Orc Quantity]]</f>
        <v>0</v>
      </c>
      <c r="K16" t="s">
        <v>8</v>
      </c>
      <c r="L16" t="s">
        <v>16</v>
      </c>
      <c r="M16">
        <v>90</v>
      </c>
      <c r="N16">
        <v>20</v>
      </c>
      <c r="O16" s="3">
        <v>0.8</v>
      </c>
      <c r="P16" s="33">
        <f>Units[[#This Row],[Attack]]*(1+Units[[#This Row],[Double]])</f>
        <v>36</v>
      </c>
      <c r="Q16">
        <v>3</v>
      </c>
    </row>
    <row r="17" spans="2:18" ht="15.75" x14ac:dyDescent="0.45">
      <c r="B17" s="37">
        <v>0</v>
      </c>
      <c r="C17" t="s">
        <v>18</v>
      </c>
      <c r="D17" s="39">
        <f>IFERROR(INDEX(Units[Health],MATCH(BattleComparison[[#This Row],[Paragon Unit]],Units[Unit],0)),0)*BattleComparison[[#This Row],[Paragon Quantity]]</f>
        <v>0</v>
      </c>
      <c r="E17" s="39">
        <f>IFERROR(INDEX(Units[Expected Attack],MATCH(BattleComparison[[#This Row],[Paragon Unit]],Units[Unit],0)),0)*BattleComparison[[#This Row],[Paragon Quantity]]</f>
        <v>0</v>
      </c>
      <c r="F17" s="37">
        <v>0</v>
      </c>
      <c r="G17" t="s">
        <v>199</v>
      </c>
      <c r="H17" s="39">
        <f>IFERROR(INDEX(Units[Health],MATCH(BattleComparison[[#This Row],[Orc Unit]],Units[Unit],0)),0)*BattleComparison[[#This Row],[Orc Quantity]]</f>
        <v>0</v>
      </c>
      <c r="I17" s="39">
        <f>IFERROR(INDEX(Units[Expected Attack],MATCH(BattleComparison[[#This Row],[Orc Unit]],Units[Unit],0)),0)*BattleComparison[[#This Row],[Orc Quantity]]</f>
        <v>0</v>
      </c>
      <c r="K17" t="s">
        <v>8</v>
      </c>
      <c r="L17" t="s">
        <v>18</v>
      </c>
      <c r="M17">
        <v>15</v>
      </c>
      <c r="N17">
        <v>90</v>
      </c>
      <c r="O17" s="3">
        <v>0.8</v>
      </c>
      <c r="P17" s="33">
        <f>Units[[#This Row],[Attack]]*(1+Units[[#This Row],[Double]])</f>
        <v>162</v>
      </c>
      <c r="Q17">
        <v>8</v>
      </c>
      <c r="R17" t="s">
        <v>12</v>
      </c>
    </row>
    <row r="18" spans="2:18" ht="15.75" x14ac:dyDescent="0.45">
      <c r="B18" s="37">
        <v>0</v>
      </c>
      <c r="C18" t="s">
        <v>17</v>
      </c>
      <c r="D18" s="39">
        <f>IFERROR(INDEX(Units[Health],MATCH(BattleComparison[[#This Row],[Paragon Unit]],Units[Unit],0)),0)*BattleComparison[[#This Row],[Paragon Quantity]]</f>
        <v>0</v>
      </c>
      <c r="E18" s="39">
        <f>IFERROR(INDEX(Units[Expected Attack],MATCH(BattleComparison[[#This Row],[Paragon Unit]],Units[Unit],0)),0)*BattleComparison[[#This Row],[Paragon Quantity]]</f>
        <v>0</v>
      </c>
      <c r="F18" s="37">
        <v>0</v>
      </c>
      <c r="G18" t="s">
        <v>200</v>
      </c>
      <c r="H18" s="39">
        <f>IFERROR(INDEX(Units[Health],MATCH(BattleComparison[[#This Row],[Orc Unit]],Units[Unit],0)),0)*BattleComparison[[#This Row],[Orc Quantity]]</f>
        <v>0</v>
      </c>
      <c r="I18" s="39">
        <f>IFERROR(INDEX(Units[Expected Attack],MATCH(BattleComparison[[#This Row],[Orc Unit]],Units[Unit],0)),0)*BattleComparison[[#This Row],[Orc Quantity]]</f>
        <v>0</v>
      </c>
      <c r="K18" t="s">
        <v>8</v>
      </c>
      <c r="L18" t="s">
        <v>17</v>
      </c>
      <c r="M18">
        <v>120</v>
      </c>
      <c r="N18">
        <v>10</v>
      </c>
      <c r="O18" s="3">
        <v>0.8</v>
      </c>
      <c r="P18" s="33">
        <f>Units[[#This Row],[Attack]]*(1+Units[[#This Row],[Double]])</f>
        <v>18</v>
      </c>
      <c r="Q18">
        <v>4</v>
      </c>
      <c r="R18" t="s">
        <v>22</v>
      </c>
    </row>
    <row r="19" spans="2:18" ht="15.75" x14ac:dyDescent="0.45">
      <c r="B19" s="37">
        <v>0</v>
      </c>
      <c r="C19" t="s">
        <v>19</v>
      </c>
      <c r="D19" s="39">
        <f>IFERROR(INDEX(Units[Health],MATCH(BattleComparison[[#This Row],[Paragon Unit]],Units[Unit],0)),0)*BattleComparison[[#This Row],[Paragon Quantity]]</f>
        <v>0</v>
      </c>
      <c r="E19" s="39">
        <f>IFERROR(INDEX(Units[Expected Attack],MATCH(BattleComparison[[#This Row],[Paragon Unit]],Units[Unit],0)),0)*BattleComparison[[#This Row],[Paragon Quantity]]</f>
        <v>0</v>
      </c>
      <c r="F19" s="37">
        <v>0</v>
      </c>
      <c r="G19" t="s">
        <v>197</v>
      </c>
      <c r="H19" s="39">
        <f>IFERROR(INDEX(Units[Health],MATCH(BattleComparison[[#This Row],[Orc Unit]],Units[Unit],0)),0)*BattleComparison[[#This Row],[Orc Quantity]]</f>
        <v>0</v>
      </c>
      <c r="I19" s="39">
        <f>IFERROR(INDEX(Units[Expected Attack],MATCH(BattleComparison[[#This Row],[Orc Unit]],Units[Unit],0)),0)*BattleComparison[[#This Row],[Orc Quantity]]</f>
        <v>0</v>
      </c>
      <c r="K19" t="s">
        <v>8</v>
      </c>
      <c r="L19" t="s">
        <v>19</v>
      </c>
      <c r="M19">
        <v>60</v>
      </c>
      <c r="N19">
        <v>80</v>
      </c>
      <c r="O19" s="3">
        <v>0.8</v>
      </c>
      <c r="P19" s="33">
        <f>Units[[#This Row],[Attack]]*(1+Units[[#This Row],[Double]])</f>
        <v>144</v>
      </c>
      <c r="Q19">
        <v>9</v>
      </c>
      <c r="R19" t="s">
        <v>23</v>
      </c>
    </row>
    <row r="20" spans="2:18" ht="15.75" x14ac:dyDescent="0.45">
      <c r="B20" s="37">
        <v>0</v>
      </c>
      <c r="D20" s="39">
        <f>IFERROR(INDEX(Units[Health],MATCH(BattleComparison[[#This Row],[Paragon Unit]],Units[Unit],0)),0)*BattleComparison[[#This Row],[Paragon Quantity]]</f>
        <v>0</v>
      </c>
      <c r="E20" s="39">
        <f>IFERROR(INDEX(Units[Expected Attack],MATCH(BattleComparison[[#This Row],[Paragon Unit]],Units[Unit],0)),0)*BattleComparison[[#This Row],[Paragon Quantity]]</f>
        <v>0</v>
      </c>
      <c r="F20" s="37">
        <v>0</v>
      </c>
      <c r="G20" t="s">
        <v>201</v>
      </c>
      <c r="H20" s="39">
        <f>IFERROR(INDEX(Units[Health],MATCH(BattleComparison[[#This Row],[Orc Unit]],Units[Unit],0)),0)*BattleComparison[[#This Row],[Orc Quantity]]</f>
        <v>0</v>
      </c>
      <c r="I20" s="39">
        <f>IFERROR(INDEX(Units[Expected Attack],MATCH(BattleComparison[[#This Row],[Orc Unit]],Units[Unit],0)),0)*BattleComparison[[#This Row],[Orc Quantity]]</f>
        <v>0</v>
      </c>
      <c r="K20" t="s">
        <v>24</v>
      </c>
      <c r="L20" t="s">
        <v>181</v>
      </c>
      <c r="M20">
        <v>15</v>
      </c>
      <c r="N20">
        <v>5</v>
      </c>
      <c r="O20" s="3">
        <v>0.6</v>
      </c>
      <c r="P20" s="33">
        <f>Units[[#This Row],[Attack]]*(1+Units[[#This Row],[Double]])</f>
        <v>8</v>
      </c>
      <c r="Q20">
        <v>1</v>
      </c>
    </row>
    <row r="21" spans="2:18" ht="15.75" x14ac:dyDescent="0.45">
      <c r="B21" s="37">
        <v>0</v>
      </c>
      <c r="D21" s="39">
        <f>IFERROR(INDEX(Units[Health],MATCH(BattleComparison[[#This Row],[Paragon Unit]],Units[Unit],0)),0)*BattleComparison[[#This Row],[Paragon Quantity]]</f>
        <v>0</v>
      </c>
      <c r="E21" s="39">
        <f>IFERROR(INDEX(Units[Expected Attack],MATCH(BattleComparison[[#This Row],[Paragon Unit]],Units[Unit],0)),0)*BattleComparison[[#This Row],[Paragon Quantity]]</f>
        <v>0</v>
      </c>
      <c r="F21" s="37">
        <v>0</v>
      </c>
      <c r="G21" t="s">
        <v>202</v>
      </c>
      <c r="H21" s="39">
        <f>IFERROR(INDEX(Units[Health],MATCH(BattleComparison[[#This Row],[Orc Unit]],Units[Unit],0)),0)*BattleComparison[[#This Row],[Orc Quantity]]</f>
        <v>0</v>
      </c>
      <c r="I21" s="39">
        <f>IFERROR(INDEX(Units[Expected Attack],MATCH(BattleComparison[[#This Row],[Orc Unit]],Units[Unit],0)),0)*BattleComparison[[#This Row],[Orc Quantity]]</f>
        <v>0</v>
      </c>
      <c r="K21" t="s">
        <v>24</v>
      </c>
      <c r="L21" t="s">
        <v>194</v>
      </c>
      <c r="M21">
        <v>10</v>
      </c>
      <c r="N21">
        <v>20</v>
      </c>
      <c r="O21" s="3">
        <v>0.6</v>
      </c>
      <c r="P21" s="33">
        <f>Units[[#This Row],[Attack]]*(1+Units[[#This Row],[Double]])</f>
        <v>32</v>
      </c>
      <c r="Q21">
        <v>6</v>
      </c>
      <c r="R21" t="s">
        <v>12</v>
      </c>
    </row>
    <row r="22" spans="2:18" ht="15.75" x14ac:dyDescent="0.45">
      <c r="B22" s="37">
        <v>0</v>
      </c>
      <c r="D22" s="39">
        <f>IFERROR(INDEX(Units[Health],MATCH(BattleComparison[[#This Row],[Paragon Unit]],Units[Unit],0)),0)*BattleComparison[[#This Row],[Paragon Quantity]]</f>
        <v>0</v>
      </c>
      <c r="E22" s="39">
        <f>IFERROR(INDEX(Units[Expected Attack],MATCH(BattleComparison[[#This Row],[Paragon Unit]],Units[Unit],0)),0)*BattleComparison[[#This Row],[Paragon Quantity]]</f>
        <v>0</v>
      </c>
      <c r="F22" s="37">
        <v>0</v>
      </c>
      <c r="G22" t="s">
        <v>203</v>
      </c>
      <c r="H22" s="39">
        <f>IFERROR(INDEX(Units[Health],MATCH(BattleComparison[[#This Row],[Orc Unit]],Units[Unit],0)),0)*BattleComparison[[#This Row],[Orc Quantity]]</f>
        <v>0</v>
      </c>
      <c r="I22" s="39">
        <f>IFERROR(INDEX(Units[Expected Attack],MATCH(BattleComparison[[#This Row],[Orc Unit]],Units[Unit],0)),0)*BattleComparison[[#This Row],[Orc Quantity]]</f>
        <v>0</v>
      </c>
      <c r="K22" t="s">
        <v>24</v>
      </c>
      <c r="L22" s="2" t="s">
        <v>193</v>
      </c>
      <c r="M22" s="2">
        <v>40</v>
      </c>
      <c r="N22" s="2">
        <v>15</v>
      </c>
      <c r="O22" s="12">
        <v>0.6</v>
      </c>
      <c r="P22" s="33">
        <f>Units[[#This Row],[Attack]]*(1+Units[[#This Row],[Double]])</f>
        <v>24</v>
      </c>
      <c r="Q22">
        <v>2</v>
      </c>
    </row>
    <row r="23" spans="2:18" ht="15.75" x14ac:dyDescent="0.45">
      <c r="B23" s="37">
        <v>0</v>
      </c>
      <c r="D23" s="39">
        <f>IFERROR(INDEX(Units[Health],MATCH(BattleComparison[[#This Row],[Paragon Unit]],Units[Unit],0)),0)*BattleComparison[[#This Row],[Paragon Quantity]]</f>
        <v>0</v>
      </c>
      <c r="E23" s="39">
        <f>IFERROR(INDEX(Units[Expected Attack],MATCH(BattleComparison[[#This Row],[Paragon Unit]],Units[Unit],0)),0)*BattleComparison[[#This Row],[Paragon Quantity]]</f>
        <v>0</v>
      </c>
      <c r="F23" s="37">
        <v>0</v>
      </c>
      <c r="G23" t="s">
        <v>204</v>
      </c>
      <c r="H23" s="39">
        <f>IFERROR(INDEX(Units[Health],MATCH(BattleComparison[[#This Row],[Orc Unit]],Units[Unit],0)),0)*BattleComparison[[#This Row],[Orc Quantity]]</f>
        <v>0</v>
      </c>
      <c r="I23" s="39">
        <f>IFERROR(INDEX(Units[Expected Attack],MATCH(BattleComparison[[#This Row],[Orc Unit]],Units[Unit],0)),0)*BattleComparison[[#This Row],[Orc Quantity]]</f>
        <v>0</v>
      </c>
      <c r="K23" t="s">
        <v>24</v>
      </c>
      <c r="L23" t="s">
        <v>195</v>
      </c>
      <c r="M23">
        <v>5</v>
      </c>
      <c r="N23">
        <v>5</v>
      </c>
      <c r="O23" s="12">
        <v>0.6</v>
      </c>
      <c r="P23" s="33">
        <f>Units[[#This Row],[Attack]]*(1+Units[[#This Row],[Double]])</f>
        <v>8</v>
      </c>
      <c r="Q23">
        <v>5</v>
      </c>
      <c r="R23" t="s">
        <v>20</v>
      </c>
    </row>
    <row r="24" spans="2:18" x14ac:dyDescent="0.45">
      <c r="K24" t="s">
        <v>24</v>
      </c>
      <c r="L24" t="s">
        <v>196</v>
      </c>
      <c r="M24">
        <v>10</v>
      </c>
      <c r="N24">
        <v>15</v>
      </c>
      <c r="O24" s="12">
        <v>0.6</v>
      </c>
      <c r="P24" s="33">
        <f>Units[[#This Row],[Attack]]*(1+Units[[#This Row],[Double]])</f>
        <v>24</v>
      </c>
      <c r="Q24">
        <v>7</v>
      </c>
      <c r="R24" t="s">
        <v>21</v>
      </c>
    </row>
    <row r="25" spans="2:18" x14ac:dyDescent="0.45">
      <c r="K25" t="s">
        <v>24</v>
      </c>
      <c r="L25" t="s">
        <v>198</v>
      </c>
      <c r="M25">
        <v>90</v>
      </c>
      <c r="N25">
        <v>20</v>
      </c>
      <c r="O25" s="12">
        <v>0.6</v>
      </c>
      <c r="P25" s="33">
        <f>Units[[#This Row],[Attack]]*(1+Units[[#This Row],[Double]])</f>
        <v>32</v>
      </c>
      <c r="Q25">
        <v>3</v>
      </c>
    </row>
    <row r="26" spans="2:18" x14ac:dyDescent="0.45">
      <c r="K26" t="s">
        <v>24</v>
      </c>
      <c r="L26" t="s">
        <v>199</v>
      </c>
      <c r="M26">
        <v>15</v>
      </c>
      <c r="N26">
        <v>90</v>
      </c>
      <c r="O26" s="12">
        <v>0.6</v>
      </c>
      <c r="P26" s="33">
        <f>Units[[#This Row],[Attack]]*(1+Units[[#This Row],[Double]])</f>
        <v>144</v>
      </c>
      <c r="Q26">
        <v>8</v>
      </c>
      <c r="R26" t="s">
        <v>12</v>
      </c>
    </row>
    <row r="27" spans="2:18" ht="19.899999999999999" thickBot="1" x14ac:dyDescent="0.65">
      <c r="B27" s="6" t="s">
        <v>776</v>
      </c>
      <c r="K27" t="s">
        <v>24</v>
      </c>
      <c r="L27" t="s">
        <v>200</v>
      </c>
      <c r="M27">
        <v>120</v>
      </c>
      <c r="N27">
        <v>10</v>
      </c>
      <c r="O27" s="12">
        <v>0.6</v>
      </c>
      <c r="P27" s="33">
        <f>Units[[#This Row],[Attack]]*(1+Units[[#This Row],[Double]])</f>
        <v>16</v>
      </c>
      <c r="Q27">
        <v>4</v>
      </c>
      <c r="R27" t="s">
        <v>22</v>
      </c>
    </row>
    <row r="28" spans="2:18" ht="14.65" thickTop="1" x14ac:dyDescent="0.45">
      <c r="B28" t="s">
        <v>779</v>
      </c>
      <c r="K28" t="s">
        <v>24</v>
      </c>
      <c r="L28" t="s">
        <v>197</v>
      </c>
      <c r="M28">
        <v>60</v>
      </c>
      <c r="N28">
        <v>80</v>
      </c>
      <c r="O28" s="12">
        <v>0.6</v>
      </c>
      <c r="P28" s="33">
        <f>Units[[#This Row],[Attack]]*(1+Units[[#This Row],[Double]])</f>
        <v>128</v>
      </c>
      <c r="Q28">
        <v>9</v>
      </c>
      <c r="R28" t="s">
        <v>23</v>
      </c>
    </row>
    <row r="29" spans="2:18" x14ac:dyDescent="0.45">
      <c r="B29" t="s">
        <v>780</v>
      </c>
      <c r="K29" t="s">
        <v>24</v>
      </c>
      <c r="L29" t="s">
        <v>201</v>
      </c>
      <c r="M29">
        <v>5000</v>
      </c>
      <c r="N29">
        <v>150</v>
      </c>
      <c r="O29" s="12">
        <v>0.5</v>
      </c>
      <c r="P29" s="33">
        <f>Units[[#This Row],[Attack]]*(1+Units[[#This Row],[Double]])</f>
        <v>225</v>
      </c>
      <c r="Q29">
        <v>10</v>
      </c>
    </row>
    <row r="30" spans="2:18" x14ac:dyDescent="0.45">
      <c r="K30" t="s">
        <v>24</v>
      </c>
      <c r="L30" t="s">
        <v>202</v>
      </c>
      <c r="M30">
        <v>11000</v>
      </c>
      <c r="N30">
        <v>300</v>
      </c>
      <c r="O30" s="12">
        <v>0.5</v>
      </c>
      <c r="P30" s="33">
        <f>Units[[#This Row],[Attack]]*(1+Units[[#This Row],[Double]])</f>
        <v>450</v>
      </c>
      <c r="Q30" s="2">
        <v>11</v>
      </c>
    </row>
    <row r="31" spans="2:18" x14ac:dyDescent="0.45">
      <c r="B31" t="s">
        <v>777</v>
      </c>
      <c r="K31" t="s">
        <v>24</v>
      </c>
      <c r="L31" t="s">
        <v>203</v>
      </c>
      <c r="M31">
        <v>120000</v>
      </c>
      <c r="N31">
        <v>100</v>
      </c>
      <c r="O31" s="12">
        <v>0.5</v>
      </c>
      <c r="P31" s="33">
        <f>Units[[#This Row],[Attack]]*(1+Units[[#This Row],[Double]])</f>
        <v>150</v>
      </c>
      <c r="Q31">
        <v>4.5</v>
      </c>
    </row>
    <row r="32" spans="2:18" x14ac:dyDescent="0.45">
      <c r="B32" t="s">
        <v>778</v>
      </c>
      <c r="K32" t="s">
        <v>24</v>
      </c>
      <c r="L32" t="s">
        <v>204</v>
      </c>
      <c r="M32">
        <v>40000</v>
      </c>
      <c r="N32">
        <v>500</v>
      </c>
      <c r="O32" s="12">
        <v>0.5</v>
      </c>
      <c r="P32" s="33">
        <f>Units[[#This Row],[Attack]]*(1+Units[[#This Row],[Double]])</f>
        <v>750</v>
      </c>
      <c r="Q32">
        <v>12</v>
      </c>
      <c r="R32" t="s">
        <v>297</v>
      </c>
    </row>
    <row r="34" spans="2:2" x14ac:dyDescent="0.45">
      <c r="B34" t="s">
        <v>958</v>
      </c>
    </row>
    <row r="35" spans="2:2" x14ac:dyDescent="0.45">
      <c r="B35" t="s">
        <v>959</v>
      </c>
    </row>
    <row r="37" spans="2:2" x14ac:dyDescent="0.45">
      <c r="B37" t="s">
        <v>677</v>
      </c>
    </row>
    <row r="38" spans="2:2" x14ac:dyDescent="0.45">
      <c r="B38" t="s">
        <v>773</v>
      </c>
    </row>
    <row r="40" spans="2:2" x14ac:dyDescent="0.45">
      <c r="B40" t="s">
        <v>675</v>
      </c>
    </row>
    <row r="41" spans="2:2" x14ac:dyDescent="0.45">
      <c r="B41" t="s">
        <v>774</v>
      </c>
    </row>
    <row r="43" spans="2:2" x14ac:dyDescent="0.45">
      <c r="B43" t="s">
        <v>676</v>
      </c>
    </row>
    <row r="44" spans="2:2" x14ac:dyDescent="0.45">
      <c r="B44" t="s">
        <v>775</v>
      </c>
    </row>
  </sheetData>
  <conditionalFormatting sqref="E6:E8">
    <cfRule type="colorScale" priority="7">
      <colorScale>
        <cfvo type="min"/>
        <cfvo type="percentile" val="50"/>
        <cfvo type="max"/>
        <color rgb="FFF8696B"/>
        <color rgb="FFFFEB84"/>
        <color rgb="FF63BE7B"/>
      </colorScale>
    </cfRule>
  </conditionalFormatting>
  <conditionalFormatting sqref="G6:G8">
    <cfRule type="colorScale" priority="5">
      <colorScale>
        <cfvo type="min"/>
        <cfvo type="percentile" val="50"/>
        <cfvo type="max"/>
        <color rgb="FF63BE7B"/>
        <color rgb="FFFFEB84"/>
        <color rgb="FFF8696B"/>
      </colorScale>
    </cfRule>
  </conditionalFormatting>
  <conditionalFormatting sqref="E4:G4">
    <cfRule type="dataBar" priority="2">
      <dataBar>
        <cfvo type="min"/>
        <cfvo type="max"/>
        <color rgb="FFFF555A"/>
      </dataBar>
      <extLst>
        <ext xmlns:x14="http://schemas.microsoft.com/office/spreadsheetml/2009/9/main" uri="{B025F937-C7B1-47D3-B67F-A62EFF666E3E}">
          <x14:id>{6FF20845-E9B3-48FA-9410-D8C8DF315CA6}</x14:id>
        </ext>
      </extLst>
    </cfRule>
  </conditionalFormatting>
  <conditionalFormatting sqref="E5:G5">
    <cfRule type="dataBar" priority="1">
      <dataBar>
        <cfvo type="min"/>
        <cfvo type="max"/>
        <color rgb="FFD6007B"/>
      </dataBar>
      <extLst>
        <ext xmlns:x14="http://schemas.microsoft.com/office/spreadsheetml/2009/9/main" uri="{B025F937-C7B1-47D3-B67F-A62EFF666E3E}">
          <x14:id>{79E66B1A-B23B-4B50-AB63-7C8FACAB4C17}</x14:id>
        </ext>
      </extLst>
    </cfRule>
  </conditionalFormatting>
  <dataValidations count="2">
    <dataValidation type="list" allowBlank="1" showInputMessage="1" showErrorMessage="1" sqref="C11:C23" xr:uid="{8AD91977-2A3A-4E81-BFD4-41C0592A4B50}">
      <formula1>$L$11:$L$19</formula1>
    </dataValidation>
    <dataValidation type="list" allowBlank="1" showInputMessage="1" showErrorMessage="1" sqref="G11:G23" xr:uid="{6DEC93EC-60B7-49D7-B892-0380519F8DB0}">
      <formula1>$L$20:$L$32</formula1>
    </dataValidation>
  </dataValidations>
  <hyperlinks>
    <hyperlink ref="K6" r:id="rId1" xr:uid="{2FC6D6F4-C2FD-44D0-B502-1B409C2B58DC}"/>
  </hyperlinks>
  <pageMargins left="0.7" right="0.7" top="0.75" bottom="0.75" header="0.3" footer="0.3"/>
  <pageSetup paperSize="9" orientation="portrait" horizontalDpi="4294967293" verticalDpi="0" r:id="rId2"/>
  <tableParts count="2">
    <tablePart r:id="rId3"/>
    <tablePart r:id="rId4"/>
  </tableParts>
  <extLst>
    <ext xmlns:x14="http://schemas.microsoft.com/office/spreadsheetml/2009/9/main" uri="{78C0D931-6437-407d-A8EE-F0AAD7539E65}">
      <x14:conditionalFormattings>
        <x14:conditionalFormatting xmlns:xm="http://schemas.microsoft.com/office/excel/2006/main">
          <x14:cfRule type="dataBar" id="{6FF20845-E9B3-48FA-9410-D8C8DF315CA6}">
            <x14:dataBar minLength="0" maxLength="100" border="1" negativeBarBorderColorSameAsPositive="0">
              <x14:cfvo type="autoMin"/>
              <x14:cfvo type="autoMax"/>
              <x14:borderColor rgb="FFFF555A"/>
              <x14:negativeFillColor rgb="FFFF0000"/>
              <x14:negativeBorderColor rgb="FFFF0000"/>
              <x14:axisColor rgb="FF000000"/>
            </x14:dataBar>
          </x14:cfRule>
          <xm:sqref>E4:G4</xm:sqref>
        </x14:conditionalFormatting>
        <x14:conditionalFormatting xmlns:xm="http://schemas.microsoft.com/office/excel/2006/main">
          <x14:cfRule type="dataBar" id="{79E66B1A-B23B-4B50-AB63-7C8FACAB4C17}">
            <x14:dataBar minLength="0" maxLength="100" border="1" negativeBarBorderColorSameAsPositive="0">
              <x14:cfvo type="autoMin"/>
              <x14:cfvo type="autoMax"/>
              <x14:borderColor rgb="FFD6007B"/>
              <x14:negativeFillColor rgb="FFFF0000"/>
              <x14:negativeBorderColor rgb="FFFF0000"/>
              <x14:axisColor rgb="FF000000"/>
            </x14:dataBar>
          </x14:cfRule>
          <xm:sqref>E5:G5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8FD45-8AEA-4CD8-B52C-44AB54E9BDC8}">
  <sheetPr>
    <tabColor rgb="FF0070C0"/>
  </sheetPr>
  <dimension ref="A1:W19"/>
  <sheetViews>
    <sheetView showGridLines="0" workbookViewId="0"/>
  </sheetViews>
  <sheetFormatPr defaultRowHeight="14.25" x14ac:dyDescent="0.45"/>
  <cols>
    <col min="1" max="1" width="4" customWidth="1"/>
    <col min="2" max="2" width="11.06640625" customWidth="1"/>
    <col min="3" max="3" width="38.19921875" customWidth="1"/>
    <col min="4" max="4" width="20.59765625" customWidth="1"/>
    <col min="5" max="5" width="4" customWidth="1"/>
    <col min="6" max="6" width="17.06640625" customWidth="1"/>
    <col min="7" max="7" width="19.9296875" customWidth="1"/>
    <col min="8" max="8" width="16.59765625" bestFit="1" customWidth="1"/>
    <col min="9" max="9" width="13.53125" customWidth="1"/>
    <col min="10" max="10" width="11.6640625" bestFit="1" customWidth="1"/>
    <col min="12" max="12" width="13.33203125" customWidth="1"/>
    <col min="13" max="13" width="7.1328125" bestFit="1" customWidth="1"/>
    <col min="14" max="14" width="6.53125" customWidth="1"/>
    <col min="15" max="15" width="11.6640625" bestFit="1" customWidth="1"/>
    <col min="16" max="16" width="10.06640625" bestFit="1" customWidth="1"/>
    <col min="17" max="17" width="8.33203125" customWidth="1"/>
    <col min="18" max="18" width="10.73046875" customWidth="1"/>
    <col min="19" max="19" width="17.1328125" bestFit="1" customWidth="1"/>
    <col min="20" max="20" width="16.86328125" bestFit="1" customWidth="1"/>
    <col min="21" max="21" width="19.9296875" bestFit="1" customWidth="1"/>
    <col min="22" max="22" width="7.1328125" bestFit="1" customWidth="1"/>
    <col min="23" max="23" width="24.19921875" bestFit="1" customWidth="1"/>
  </cols>
  <sheetData>
    <row r="1" spans="1:23" ht="23.25" x14ac:dyDescent="0.7">
      <c r="A1" s="1" t="s">
        <v>192</v>
      </c>
    </row>
    <row r="3" spans="1:23" ht="19.899999999999999" thickBot="1" x14ac:dyDescent="0.65">
      <c r="B3" s="6" t="s">
        <v>206</v>
      </c>
      <c r="F3" s="6" t="s">
        <v>214</v>
      </c>
      <c r="L3" s="6" t="s">
        <v>205</v>
      </c>
    </row>
    <row r="4" spans="1:23" ht="21.4" thickTop="1" x14ac:dyDescent="0.45">
      <c r="B4" s="13" t="s">
        <v>207</v>
      </c>
      <c r="F4" s="13" t="s">
        <v>215</v>
      </c>
      <c r="T4" s="121" t="s">
        <v>672</v>
      </c>
      <c r="U4" s="19" t="s">
        <v>242</v>
      </c>
    </row>
    <row r="5" spans="1:23" ht="21" x14ac:dyDescent="0.45">
      <c r="T5" s="121" t="s">
        <v>964</v>
      </c>
      <c r="U5" s="19" t="s">
        <v>961</v>
      </c>
    </row>
    <row r="6" spans="1:23" ht="21" x14ac:dyDescent="0.45">
      <c r="C6" s="5"/>
      <c r="D6" s="22" t="s">
        <v>209</v>
      </c>
      <c r="G6" s="5" t="s">
        <v>216</v>
      </c>
      <c r="T6" s="121" t="s">
        <v>965</v>
      </c>
      <c r="U6" s="19" t="s">
        <v>961</v>
      </c>
    </row>
    <row r="7" spans="1:23" ht="58.9" x14ac:dyDescent="0.45">
      <c r="C7" s="16" t="s">
        <v>222</v>
      </c>
      <c r="D7" s="130">
        <f>SUM(ShipCapacityCalculator[Cargo capacity/h (return, 50% empty)])</f>
        <v>108.00000000000001</v>
      </c>
      <c r="F7" s="123"/>
      <c r="G7" s="19">
        <v>60</v>
      </c>
      <c r="H7" s="15" t="s">
        <v>221</v>
      </c>
    </row>
    <row r="9" spans="1:23" ht="63.75" x14ac:dyDescent="0.45">
      <c r="F9" s="13"/>
      <c r="J9" s="16" t="s">
        <v>220</v>
      </c>
      <c r="L9" s="15" t="s">
        <v>210</v>
      </c>
      <c r="R9" s="17" t="s">
        <v>963</v>
      </c>
      <c r="S9" s="17" t="s">
        <v>211</v>
      </c>
      <c r="T9" s="17" t="s">
        <v>673</v>
      </c>
      <c r="U9" s="17" t="s">
        <v>674</v>
      </c>
      <c r="V9" s="17" t="s">
        <v>212</v>
      </c>
      <c r="W9" s="17" t="s">
        <v>213</v>
      </c>
    </row>
    <row r="10" spans="1:23" ht="57" x14ac:dyDescent="0.45">
      <c r="B10" t="s">
        <v>208</v>
      </c>
      <c r="C10" t="s">
        <v>182</v>
      </c>
      <c r="D10" s="8" t="s">
        <v>189</v>
      </c>
      <c r="F10" t="s">
        <v>182</v>
      </c>
      <c r="G10" s="8" t="s">
        <v>189</v>
      </c>
      <c r="H10" t="s">
        <v>217</v>
      </c>
      <c r="I10" s="23" t="s">
        <v>218</v>
      </c>
      <c r="J10" s="8" t="s">
        <v>219</v>
      </c>
      <c r="L10" s="8" t="s">
        <v>182</v>
      </c>
      <c r="M10" s="8" t="s">
        <v>183</v>
      </c>
      <c r="N10" s="8" t="s">
        <v>184</v>
      </c>
      <c r="O10" s="8" t="s">
        <v>966</v>
      </c>
      <c r="P10" s="8" t="s">
        <v>185</v>
      </c>
      <c r="Q10" s="8" t="s">
        <v>186</v>
      </c>
      <c r="R10" s="8" t="s">
        <v>962</v>
      </c>
      <c r="S10" s="8" t="s">
        <v>187</v>
      </c>
      <c r="T10" s="8" t="s">
        <v>188</v>
      </c>
      <c r="U10" s="8" t="s">
        <v>189</v>
      </c>
      <c r="V10" s="8" t="s">
        <v>190</v>
      </c>
      <c r="W10" s="8" t="s">
        <v>191</v>
      </c>
    </row>
    <row r="11" spans="1:23" ht="15.75" x14ac:dyDescent="0.45">
      <c r="B11" s="37"/>
      <c r="C11" s="10" t="s">
        <v>77</v>
      </c>
      <c r="D11" s="38">
        <f>IFERROR(INDEX(Ships[Cargo capacity/h (return, 50% empty)],MATCH(ShipCapacityCalculator[[#This Row],[Ship]],Ships[Ship],0)),0)*ShipCapacityCalculator[[#This Row],[Quantity]]</f>
        <v>0</v>
      </c>
      <c r="F11" s="10" t="s">
        <v>77</v>
      </c>
      <c r="G11" s="39">
        <f>IFERROR(INDEX(Ships[Cargo capacity/h (return, 50% empty)],MATCH(ShipRequirementCalculator[[#This Row],[Ship]],Ships[Ship],0)),0)*1</f>
        <v>27.692307692307693</v>
      </c>
      <c r="H11" s="40">
        <f>$G$7/ShipRequirementCalculator[[#This Row],[Cargo capacity/h (return, 50% empty)]]</f>
        <v>2.1666666666666665</v>
      </c>
      <c r="I11" s="38">
        <f>ROUNDUP($G$7/ShipRequirementCalculator[[#This Row],[Cargo capacity/h (return, 50% empty)]],0)</f>
        <v>3</v>
      </c>
      <c r="J11" s="21">
        <f>$G$7/(ShipRequirementCalculator[[#This Row],[Quantity (rounded up)]]*ShipRequirementCalculator[[#This Row],[Cargo capacity/h (return, 50% empty)]])</f>
        <v>0.72222222222222221</v>
      </c>
      <c r="L11" s="10" t="s">
        <v>77</v>
      </c>
      <c r="M11">
        <v>2</v>
      </c>
      <c r="N11">
        <v>60</v>
      </c>
      <c r="O11">
        <f>IF($U$6="Yes",Ships[[#This Row],[Slot Size]]*2,Ships[[#This Row],[Slot Size]])</f>
        <v>60</v>
      </c>
      <c r="P11">
        <f>Ships[[#This Row],[Hold Slots]]*Ships[[#This Row],[Slot Size (adjusted)]]</f>
        <v>120</v>
      </c>
      <c r="Q11" s="3">
        <v>1</v>
      </c>
      <c r="R11" s="3">
        <f>IF($U$5="Yes",Ships[[#This Row],[Speed]]*2,Ships[[#This Row],[Speed]])</f>
        <v>1</v>
      </c>
      <c r="S11" s="131">
        <f>IFERROR(2*(1/Ships[[#This Row],[Speed (adjusted)]]),1)</f>
        <v>2</v>
      </c>
      <c r="T11" s="124">
        <f>Ships[[#This Row],[Total Capacity]]/Ships[[#This Row],[Travel time (hours, one way)]]</f>
        <v>60</v>
      </c>
      <c r="U11" s="88">
        <f>(Ships[[#This Row],[Total Capacity]]/(Ships[[#This Row],[Travel time (hours, one way)]]+IF($U$4="Yes",2/12,0)))*50%</f>
        <v>27.692307692307693</v>
      </c>
      <c r="V11" s="11">
        <v>60</v>
      </c>
      <c r="W11" s="88">
        <f>IFERROR(1000*Ships[[#This Row],[Cargo capacity/h (return, 50% empty)]]/Ships[[#This Row],[Gold cost]],0)</f>
        <v>461.5384615384616</v>
      </c>
    </row>
    <row r="12" spans="1:23" ht="15.75" x14ac:dyDescent="0.45">
      <c r="B12" s="37"/>
      <c r="C12" s="10" t="s">
        <v>78</v>
      </c>
      <c r="D12" s="38">
        <f>IFERROR(INDEX(Ships[Cargo capacity/h (return, 50% empty)],MATCH(ShipCapacityCalculator[[#This Row],[Ship]],Ships[Ship],0)),0)*ShipCapacityCalculator[[#This Row],[Quantity]]</f>
        <v>0</v>
      </c>
      <c r="F12" s="10" t="s">
        <v>78</v>
      </c>
      <c r="G12" s="39">
        <f>IFERROR(INDEX(Ships[Cargo capacity/h (return, 50% empty)],MATCH(ShipRequirementCalculator[[#This Row],[Ship]],Ships[Ship],0)),0)*1</f>
        <v>38.571428571428569</v>
      </c>
      <c r="H12" s="40">
        <f>$G$7/ShipRequirementCalculator[[#This Row],[Cargo capacity/h (return, 50% empty)]]</f>
        <v>1.5555555555555556</v>
      </c>
      <c r="I12" s="38">
        <f>ROUNDUP($G$7/ShipRequirementCalculator[[#This Row],[Cargo capacity/h (return, 50% empty)]],0)</f>
        <v>2</v>
      </c>
      <c r="J12" s="21">
        <f>$G$7/(ShipRequirementCalculator[[#This Row],[Quantity (rounded up)]]*ShipRequirementCalculator[[#This Row],[Cargo capacity/h (return, 50% empty)]])</f>
        <v>0.77777777777777779</v>
      </c>
      <c r="L12" s="10" t="s">
        <v>78</v>
      </c>
      <c r="M12">
        <v>2</v>
      </c>
      <c r="N12">
        <v>45</v>
      </c>
      <c r="O12">
        <f>IF($U$6="Yes",Ships[[#This Row],[Slot Size]]*2,Ships[[#This Row],[Slot Size]])</f>
        <v>45</v>
      </c>
      <c r="P12">
        <f>Ships[[#This Row],[Hold Slots]]*Ships[[#This Row],[Slot Size (adjusted)]]</f>
        <v>90</v>
      </c>
      <c r="Q12" s="3">
        <v>2</v>
      </c>
      <c r="R12" s="3">
        <f>IF($U$5="Yes",Ships[[#This Row],[Speed]]*2,Ships[[#This Row],[Speed]])</f>
        <v>2</v>
      </c>
      <c r="S12" s="131">
        <f>IFERROR(2*(1/Ships[[#This Row],[Speed (adjusted)]]),1)</f>
        <v>1</v>
      </c>
      <c r="T12" s="124">
        <f>Ships[[#This Row],[Total Capacity]]/Ships[[#This Row],[Travel time (hours, one way)]]</f>
        <v>90</v>
      </c>
      <c r="U12" s="88">
        <f>(Ships[[#This Row],[Total Capacity]]/(Ships[[#This Row],[Travel time (hours, one way)]]+IF($U$4="Yes",2/12,0)))*50%</f>
        <v>38.571428571428569</v>
      </c>
      <c r="V12" s="11">
        <v>90</v>
      </c>
      <c r="W12" s="88">
        <f>IFERROR(1000*Ships[[#This Row],[Cargo capacity/h (return, 50% empty)]]/Ships[[#This Row],[Gold cost]],0)</f>
        <v>428.57142857142856</v>
      </c>
    </row>
    <row r="13" spans="1:23" ht="15.75" x14ac:dyDescent="0.45">
      <c r="B13" s="37"/>
      <c r="C13" s="10" t="s">
        <v>79</v>
      </c>
      <c r="D13" s="38">
        <f>IFERROR(INDEX(Ships[Cargo capacity/h (return, 50% empty)],MATCH(ShipCapacityCalculator[[#This Row],[Ship]],Ships[Ship],0)),0)*ShipCapacityCalculator[[#This Row],[Quantity]]</f>
        <v>0</v>
      </c>
      <c r="F13" s="10" t="s">
        <v>79</v>
      </c>
      <c r="G13" s="39">
        <f>IFERROR(INDEX(Ships[Cargo capacity/h (return, 50% empty)],MATCH(ShipRequirementCalculator[[#This Row],[Ship]],Ships[Ship],0)),0)*1</f>
        <v>83.07692307692308</v>
      </c>
      <c r="H13" s="40">
        <f>$G$7/ShipRequirementCalculator[[#This Row],[Cargo capacity/h (return, 50% empty)]]</f>
        <v>0.72222222222222221</v>
      </c>
      <c r="I13" s="38">
        <f>ROUNDUP($G$7/ShipRequirementCalculator[[#This Row],[Cargo capacity/h (return, 50% empty)]],0)</f>
        <v>1</v>
      </c>
      <c r="J13" s="21">
        <f>$G$7/(ShipRequirementCalculator[[#This Row],[Quantity (rounded up)]]*ShipRequirementCalculator[[#This Row],[Cargo capacity/h (return, 50% empty)]])</f>
        <v>0.72222222222222221</v>
      </c>
      <c r="L13" s="10" t="s">
        <v>79</v>
      </c>
      <c r="M13">
        <v>4</v>
      </c>
      <c r="N13">
        <v>90</v>
      </c>
      <c r="O13">
        <f>IF($U$6="Yes",Ships[[#This Row],[Slot Size]]*2,Ships[[#This Row],[Slot Size]])</f>
        <v>90</v>
      </c>
      <c r="P13">
        <f>Ships[[#This Row],[Hold Slots]]*Ships[[#This Row],[Slot Size (adjusted)]]</f>
        <v>360</v>
      </c>
      <c r="Q13" s="3">
        <v>1</v>
      </c>
      <c r="R13" s="3">
        <f>IF($U$5="Yes",Ships[[#This Row],[Speed]]*2,Ships[[#This Row],[Speed]])</f>
        <v>1</v>
      </c>
      <c r="S13" s="131">
        <f>IFERROR(2*(1/Ships[[#This Row],[Speed (adjusted)]]),1)</f>
        <v>2</v>
      </c>
      <c r="T13" s="124">
        <f>Ships[[#This Row],[Total Capacity]]/Ships[[#This Row],[Travel time (hours, one way)]]</f>
        <v>180</v>
      </c>
      <c r="U13" s="88">
        <f>(Ships[[#This Row],[Total Capacity]]/(Ships[[#This Row],[Travel time (hours, one way)]]+IF($U$4="Yes",2/12,0)))*50%</f>
        <v>83.07692307692308</v>
      </c>
      <c r="V13" s="11">
        <v>500</v>
      </c>
      <c r="W13" s="88">
        <f>IFERROR(1000*Ships[[#This Row],[Cargo capacity/h (return, 50% empty)]]/Ships[[#This Row],[Gold cost]],0)</f>
        <v>166.15384615384616</v>
      </c>
    </row>
    <row r="14" spans="1:23" ht="15.75" x14ac:dyDescent="0.45">
      <c r="B14" s="37">
        <v>1</v>
      </c>
      <c r="C14" s="10" t="s">
        <v>80</v>
      </c>
      <c r="D14" s="38">
        <f>IFERROR(INDEX(Ships[Cargo capacity/h (return, 50% empty)],MATCH(ShipCapacityCalculator[[#This Row],[Ship]],Ships[Ship],0)),0)*ShipCapacityCalculator[[#This Row],[Quantity]]</f>
        <v>108.00000000000001</v>
      </c>
      <c r="F14" s="10" t="s">
        <v>80</v>
      </c>
      <c r="G14" s="39">
        <f>IFERROR(INDEX(Ships[Cargo capacity/h (return, 50% empty)],MATCH(ShipRequirementCalculator[[#This Row],[Ship]],Ships[Ship],0)),0)*1</f>
        <v>108.00000000000001</v>
      </c>
      <c r="H14" s="40">
        <f>$G$7/ShipRequirementCalculator[[#This Row],[Cargo capacity/h (return, 50% empty)]]</f>
        <v>0.55555555555555547</v>
      </c>
      <c r="I14" s="38">
        <f>ROUNDUP($G$7/ShipRequirementCalculator[[#This Row],[Cargo capacity/h (return, 50% empty)]],0)</f>
        <v>1</v>
      </c>
      <c r="J14" s="21">
        <f>$G$7/(ShipRequirementCalculator[[#This Row],[Quantity (rounded up)]]*ShipRequirementCalculator[[#This Row],[Cargo capacity/h (return, 50% empty)]])</f>
        <v>0.55555555555555547</v>
      </c>
      <c r="L14" s="10" t="s">
        <v>80</v>
      </c>
      <c r="M14">
        <v>3</v>
      </c>
      <c r="N14">
        <v>60</v>
      </c>
      <c r="O14">
        <f>IF($U$6="Yes",Ships[[#This Row],[Slot Size]]*2,Ships[[#This Row],[Slot Size]])</f>
        <v>60</v>
      </c>
      <c r="P14">
        <f>Ships[[#This Row],[Hold Slots]]*Ships[[#This Row],[Slot Size (adjusted)]]</f>
        <v>180</v>
      </c>
      <c r="Q14" s="3">
        <v>3</v>
      </c>
      <c r="R14" s="3">
        <f>IF($U$5="Yes",Ships[[#This Row],[Speed]]*2,Ships[[#This Row],[Speed]])</f>
        <v>3</v>
      </c>
      <c r="S14" s="131">
        <f>IFERROR(2*(1/Ships[[#This Row],[Speed (adjusted)]]),1)</f>
        <v>0.66666666666666663</v>
      </c>
      <c r="T14" s="124">
        <f>Ships[[#This Row],[Total Capacity]]/Ships[[#This Row],[Travel time (hours, one way)]]</f>
        <v>270</v>
      </c>
      <c r="U14" s="88">
        <f>(Ships[[#This Row],[Total Capacity]]/(Ships[[#This Row],[Travel time (hours, one way)]]+IF($U$4="Yes",2/12,0)))*50%</f>
        <v>108.00000000000001</v>
      </c>
      <c r="V14" s="11">
        <v>750</v>
      </c>
      <c r="W14" s="88">
        <f>IFERROR(1000*Ships[[#This Row],[Cargo capacity/h (return, 50% empty)]]/Ships[[#This Row],[Gold cost]],0)</f>
        <v>144.00000000000003</v>
      </c>
    </row>
    <row r="15" spans="1:23" ht="15.75" x14ac:dyDescent="0.45">
      <c r="B15" s="37"/>
      <c r="C15" s="10" t="s">
        <v>81</v>
      </c>
      <c r="D15" s="38">
        <f>IFERROR(INDEX(Ships[Cargo capacity/h (return, 50% empty)],MATCH(ShipCapacityCalculator[[#This Row],[Ship]],Ships[Ship],0)),0)*ShipCapacityCalculator[[#This Row],[Quantity]]</f>
        <v>0</v>
      </c>
      <c r="F15" s="10" t="s">
        <v>81</v>
      </c>
      <c r="G15" s="39">
        <f>IFERROR(INDEX(Ships[Cargo capacity/h (return, 50% empty)],MATCH(ShipRequirementCalculator[[#This Row],[Ship]],Ships[Ship],0)),0)*1</f>
        <v>249.23076923076925</v>
      </c>
      <c r="H15" s="40">
        <f>$G$7/ShipRequirementCalculator[[#This Row],[Cargo capacity/h (return, 50% empty)]]</f>
        <v>0.24074074074074073</v>
      </c>
      <c r="I15" s="38">
        <f>ROUNDUP($G$7/ShipRequirementCalculator[[#This Row],[Cargo capacity/h (return, 50% empty)]],0)</f>
        <v>1</v>
      </c>
      <c r="J15" s="21">
        <f>$G$7/(ShipRequirementCalculator[[#This Row],[Quantity (rounded up)]]*ShipRequirementCalculator[[#This Row],[Cargo capacity/h (return, 50% empty)]])</f>
        <v>0.24074074074074073</v>
      </c>
      <c r="L15" s="10" t="s">
        <v>81</v>
      </c>
      <c r="M15">
        <v>6</v>
      </c>
      <c r="N15">
        <v>180</v>
      </c>
      <c r="O15">
        <f>IF($U$6="Yes",Ships[[#This Row],[Slot Size]]*2,Ships[[#This Row],[Slot Size]])</f>
        <v>180</v>
      </c>
      <c r="P15">
        <f>Ships[[#This Row],[Hold Slots]]*Ships[[#This Row],[Slot Size (adjusted)]]</f>
        <v>1080</v>
      </c>
      <c r="Q15" s="3">
        <v>1</v>
      </c>
      <c r="R15" s="3">
        <f>IF($U$5="Yes",Ships[[#This Row],[Speed]]*2,Ships[[#This Row],[Speed]])</f>
        <v>1</v>
      </c>
      <c r="S15" s="131">
        <f>IFERROR(2*(1/Ships[[#This Row],[Speed (adjusted)]]),1)</f>
        <v>2</v>
      </c>
      <c r="T15" s="124">
        <f>Ships[[#This Row],[Total Capacity]]/Ships[[#This Row],[Travel time (hours, one way)]]</f>
        <v>540</v>
      </c>
      <c r="U15" s="88">
        <f>(Ships[[#This Row],[Total Capacity]]/(Ships[[#This Row],[Travel time (hours, one way)]]+IF($U$4="Yes",2/12,0)))*50%</f>
        <v>249.23076923076925</v>
      </c>
      <c r="V15" s="11">
        <v>4000</v>
      </c>
      <c r="W15" s="88">
        <f>IFERROR(1000*Ships[[#This Row],[Cargo capacity/h (return, 50% empty)]]/Ships[[#This Row],[Gold cost]],0)</f>
        <v>62.307692307692314</v>
      </c>
    </row>
    <row r="16" spans="1:23" ht="15.75" x14ac:dyDescent="0.45">
      <c r="B16" s="37">
        <v>0</v>
      </c>
      <c r="C16" s="10" t="s">
        <v>82</v>
      </c>
      <c r="D16" s="38">
        <f>IFERROR(INDEX(Ships[Cargo capacity/h (return, 50% empty)],MATCH(ShipCapacityCalculator[[#This Row],[Ship]],Ships[Ship],0)),0)*ShipCapacityCalculator[[#This Row],[Quantity]]</f>
        <v>0</v>
      </c>
      <c r="F16" s="10" t="s">
        <v>82</v>
      </c>
      <c r="G16" s="39">
        <f>IFERROR(INDEX(Ships[Cargo capacity/h (return, 50% empty)],MATCH(ShipRequirementCalculator[[#This Row],[Ship]],Ships[Ship],0)),0)*1</f>
        <v>300</v>
      </c>
      <c r="H16" s="40">
        <f>$G$7/ShipRequirementCalculator[[#This Row],[Cargo capacity/h (return, 50% empty)]]</f>
        <v>0.2</v>
      </c>
      <c r="I16" s="38">
        <f>ROUNDUP($G$7/ShipRequirementCalculator[[#This Row],[Cargo capacity/h (return, 50% empty)]],0)</f>
        <v>1</v>
      </c>
      <c r="J16" s="21">
        <f>$G$7/(ShipRequirementCalculator[[#This Row],[Quantity (rounded up)]]*ShipRequirementCalculator[[#This Row],[Cargo capacity/h (return, 50% empty)]])</f>
        <v>0.2</v>
      </c>
      <c r="L16" s="10" t="s">
        <v>82</v>
      </c>
      <c r="M16">
        <v>4</v>
      </c>
      <c r="N16">
        <v>100</v>
      </c>
      <c r="O16">
        <f>IF($U$6="Yes",Ships[[#This Row],[Slot Size]]*2,Ships[[#This Row],[Slot Size]])</f>
        <v>100</v>
      </c>
      <c r="P16">
        <f>Ships[[#This Row],[Hold Slots]]*Ships[[#This Row],[Slot Size (adjusted)]]</f>
        <v>400</v>
      </c>
      <c r="Q16" s="3">
        <v>4</v>
      </c>
      <c r="R16" s="3">
        <f>IF($U$5="Yes",Ships[[#This Row],[Speed]]*2,Ships[[#This Row],[Speed]])</f>
        <v>4</v>
      </c>
      <c r="S16" s="131">
        <f>IFERROR(2*(1/Ships[[#This Row],[Speed (adjusted)]]),1)</f>
        <v>0.5</v>
      </c>
      <c r="T16" s="124">
        <f>Ships[[#This Row],[Total Capacity]]/Ships[[#This Row],[Travel time (hours, one way)]]</f>
        <v>800</v>
      </c>
      <c r="U16" s="88">
        <f>(Ships[[#This Row],[Total Capacity]]/(Ships[[#This Row],[Travel time (hours, one way)]]+IF($U$4="Yes",2/12,0)))*50%</f>
        <v>300</v>
      </c>
      <c r="V16" s="11">
        <v>6000</v>
      </c>
      <c r="W16" s="88">
        <f>IFERROR(1000*Ships[[#This Row],[Cargo capacity/h (return, 50% empty)]]/Ships[[#This Row],[Gold cost]],0)</f>
        <v>50</v>
      </c>
    </row>
    <row r="17" spans="2:23" ht="15.75" x14ac:dyDescent="0.45">
      <c r="B17" s="37">
        <v>0</v>
      </c>
      <c r="C17" s="10" t="s">
        <v>83</v>
      </c>
      <c r="D17" s="38">
        <f>IFERROR(INDEX(Ships[Cargo capacity/h (return, 50% empty)],MATCH(ShipCapacityCalculator[[#This Row],[Ship]],Ships[Ship],0)),0)*ShipCapacityCalculator[[#This Row],[Quantity]]</f>
        <v>0</v>
      </c>
      <c r="F17" s="10" t="s">
        <v>83</v>
      </c>
      <c r="G17" s="39">
        <f>IFERROR(INDEX(Ships[Cargo capacity/h (return, 50% empty)],MATCH(ShipRequirementCalculator[[#This Row],[Ship]],Ships[Ship],0)),0)*1</f>
        <v>747.69230769230774</v>
      </c>
      <c r="H17" s="40">
        <f>$G$7/ShipRequirementCalculator[[#This Row],[Cargo capacity/h (return, 50% empty)]]</f>
        <v>8.0246913580246909E-2</v>
      </c>
      <c r="I17" s="38">
        <f>ROUNDUP($G$7/ShipRequirementCalculator[[#This Row],[Cargo capacity/h (return, 50% empty)]],0)</f>
        <v>1</v>
      </c>
      <c r="J17" s="21">
        <f>$G$7/(ShipRequirementCalculator[[#This Row],[Quantity (rounded up)]]*ShipRequirementCalculator[[#This Row],[Cargo capacity/h (return, 50% empty)]])</f>
        <v>8.0246913580246909E-2</v>
      </c>
      <c r="L17" s="10" t="s">
        <v>83</v>
      </c>
      <c r="M17">
        <v>6</v>
      </c>
      <c r="N17">
        <v>540</v>
      </c>
      <c r="O17">
        <f>IF($U$6="Yes",Ships[[#This Row],[Slot Size]]*2,Ships[[#This Row],[Slot Size]])</f>
        <v>540</v>
      </c>
      <c r="P17">
        <f>Ships[[#This Row],[Hold Slots]]*Ships[[#This Row],[Slot Size (adjusted)]]</f>
        <v>3240</v>
      </c>
      <c r="Q17" s="3">
        <v>1</v>
      </c>
      <c r="R17" s="3">
        <f>IF($U$5="Yes",Ships[[#This Row],[Speed]]*2,Ships[[#This Row],[Speed]])</f>
        <v>1</v>
      </c>
      <c r="S17" s="131">
        <f>IFERROR(2*(1/Ships[[#This Row],[Speed (adjusted)]]),1)</f>
        <v>2</v>
      </c>
      <c r="T17" s="124">
        <f>Ships[[#This Row],[Total Capacity]]/Ships[[#This Row],[Travel time (hours, one way)]]</f>
        <v>1620</v>
      </c>
      <c r="U17" s="88">
        <f>(Ships[[#This Row],[Total Capacity]]/(Ships[[#This Row],[Travel time (hours, one way)]]+IF($U$4="Yes",2/12,0)))*50%</f>
        <v>747.69230769230774</v>
      </c>
      <c r="V17" s="11">
        <v>20000</v>
      </c>
      <c r="W17" s="88">
        <f>IFERROR(1000*Ships[[#This Row],[Cargo capacity/h (return, 50% empty)]]/Ships[[#This Row],[Gold cost]],0)</f>
        <v>37.384615384615387</v>
      </c>
    </row>
    <row r="18" spans="2:23" ht="15.75" x14ac:dyDescent="0.45">
      <c r="B18" s="37">
        <v>0</v>
      </c>
      <c r="C18" s="10" t="s">
        <v>84</v>
      </c>
      <c r="D18" s="38">
        <f>IFERROR(INDEX(Ships[Cargo capacity/h (return, 50% empty)],MATCH(ShipCapacityCalculator[[#This Row],[Ship]],Ships[Ship],0)),0)*ShipCapacityCalculator[[#This Row],[Quantity]]</f>
        <v>0</v>
      </c>
      <c r="F18" s="10" t="s">
        <v>84</v>
      </c>
      <c r="G18" s="39">
        <f>IFERROR(INDEX(Ships[Cargo capacity/h (return, 50% empty)],MATCH(ShipRequirementCalculator[[#This Row],[Ship]],Ships[Ship],0)),0)*1</f>
        <v>882.35294117647061</v>
      </c>
      <c r="H18" s="40">
        <f>$G$7/ShipRequirementCalculator[[#This Row],[Cargo capacity/h (return, 50% empty)]]</f>
        <v>6.8000000000000005E-2</v>
      </c>
      <c r="I18" s="38">
        <f>ROUNDUP($G$7/ShipRequirementCalculator[[#This Row],[Cargo capacity/h (return, 50% empty)]],0)</f>
        <v>1</v>
      </c>
      <c r="J18" s="21">
        <f>$G$7/(ShipRequirementCalculator[[#This Row],[Quantity (rounded up)]]*ShipRequirementCalculator[[#This Row],[Cargo capacity/h (return, 50% empty)]])</f>
        <v>6.8000000000000005E-2</v>
      </c>
      <c r="L18" s="10" t="s">
        <v>84</v>
      </c>
      <c r="M18">
        <v>5</v>
      </c>
      <c r="N18">
        <v>200</v>
      </c>
      <c r="O18">
        <f>IF($U$6="Yes",Ships[[#This Row],[Slot Size]]*2,Ships[[#This Row],[Slot Size]])</f>
        <v>200</v>
      </c>
      <c r="P18">
        <f>Ships[[#This Row],[Hold Slots]]*Ships[[#This Row],[Slot Size (adjusted)]]</f>
        <v>1000</v>
      </c>
      <c r="Q18" s="3">
        <v>5</v>
      </c>
      <c r="R18" s="3">
        <f>IF($U$5="Yes",Ships[[#This Row],[Speed]]*2,Ships[[#This Row],[Speed]])</f>
        <v>5</v>
      </c>
      <c r="S18" s="131">
        <f>IFERROR(2*(1/Ships[[#This Row],[Speed (adjusted)]]),1)</f>
        <v>0.4</v>
      </c>
      <c r="T18" s="124">
        <f>Ships[[#This Row],[Total Capacity]]/Ships[[#This Row],[Travel time (hours, one way)]]</f>
        <v>2500</v>
      </c>
      <c r="U18" s="88">
        <f>(Ships[[#This Row],[Total Capacity]]/(Ships[[#This Row],[Travel time (hours, one way)]]+IF($U$4="Yes",2/12,0)))*50%</f>
        <v>882.35294117647061</v>
      </c>
      <c r="V18" s="11">
        <v>30000</v>
      </c>
      <c r="W18" s="88">
        <f>IFERROR(1000*Ships[[#This Row],[Cargo capacity/h (return, 50% empty)]]/Ships[[#This Row],[Gold cost]],0)</f>
        <v>29.411764705882355</v>
      </c>
    </row>
    <row r="19" spans="2:23" ht="15.75" x14ac:dyDescent="0.45">
      <c r="B19" s="37"/>
      <c r="C19" s="332" t="s">
        <v>960</v>
      </c>
      <c r="D19" s="38">
        <f>IFERROR(INDEX(Ships[Cargo capacity/h (return, 50% empty)],MATCH(ShipCapacityCalculator[[#This Row],[Ship]],Ships[Ship],0)),0)*ShipCapacityCalculator[[#This Row],[Quantity]]</f>
        <v>0</v>
      </c>
      <c r="F19" s="332" t="s">
        <v>960</v>
      </c>
      <c r="G19" s="39">
        <f>IFERROR(INDEX(Ships[Cargo capacity/h (return, 50% empty)],MATCH(ShipRequirementCalculator[[#This Row],[Ship]],Ships[Ship],0)),0)*1</f>
        <v>7200.0000000000009</v>
      </c>
      <c r="H19" s="333">
        <f>$G$7/ShipRequirementCalculator[[#This Row],[Cargo capacity/h (return, 50% empty)]]</f>
        <v>8.3333333333333315E-3</v>
      </c>
      <c r="I19" s="334">
        <f>ROUNDUP($G$7/ShipRequirementCalculator[[#This Row],[Cargo capacity/h (return, 50% empty)]],0)</f>
        <v>1</v>
      </c>
      <c r="J19" s="21">
        <f>$G$7/(ShipRequirementCalculator[[#This Row],[Quantity (rounded up)]]*ShipRequirementCalculator[[#This Row],[Cargo capacity/h (return, 50% empty)]])</f>
        <v>8.3333333333333315E-3</v>
      </c>
      <c r="L19" s="10" t="s">
        <v>960</v>
      </c>
      <c r="M19">
        <v>6</v>
      </c>
      <c r="N19">
        <v>1000</v>
      </c>
      <c r="O19">
        <f>IF($U$6="Yes",Ships[[#This Row],[Slot Size]]*2,Ships[[#This Row],[Slot Size]])</f>
        <v>1000</v>
      </c>
      <c r="P19" s="11">
        <f>Ships[[#This Row],[Hold Slots]]*Ships[[#This Row],[Slot Size (adjusted)]]</f>
        <v>6000</v>
      </c>
      <c r="Q19" s="3">
        <v>8</v>
      </c>
      <c r="R19" s="3">
        <f>IF($U$5="Yes",Ships[[#This Row],[Speed]]*2,Ships[[#This Row],[Speed]])</f>
        <v>8</v>
      </c>
      <c r="S19" s="131">
        <f>IFERROR(2*(1/Ships[[#This Row],[Speed (adjusted)]]),1)</f>
        <v>0.25</v>
      </c>
      <c r="T19" s="154">
        <f>Ships[[#This Row],[Total Capacity]]/Ships[[#This Row],[Travel time (hours, one way)]]</f>
        <v>24000</v>
      </c>
      <c r="U19" s="88">
        <f>(Ships[[#This Row],[Total Capacity]]/(Ships[[#This Row],[Travel time (hours, one way)]]+IF($U$4="Yes",2/12,0)))*50%</f>
        <v>7200.0000000000009</v>
      </c>
      <c r="V19" s="11"/>
      <c r="W19" s="88">
        <f>IFERROR(1000*Ships[[#This Row],[Cargo capacity/h (return, 50% empty)]]/Ships[[#This Row],[Gold cost]],0)</f>
        <v>0</v>
      </c>
    </row>
  </sheetData>
  <conditionalFormatting sqref="U11:U19">
    <cfRule type="dataBar" priority="3">
      <dataBar>
        <cfvo type="min"/>
        <cfvo type="max"/>
        <color rgb="FFFFB628"/>
      </dataBar>
      <extLst>
        <ext xmlns:x14="http://schemas.microsoft.com/office/spreadsheetml/2009/9/main" uri="{B025F937-C7B1-47D3-B67F-A62EFF666E3E}">
          <x14:id>{92DEE5A8-1695-42D8-BFE0-EA14A60BE061}</x14:id>
        </ext>
      </extLst>
    </cfRule>
  </conditionalFormatting>
  <conditionalFormatting sqref="W11:W19">
    <cfRule type="dataBar" priority="2">
      <dataBar>
        <cfvo type="min"/>
        <cfvo type="max"/>
        <color rgb="FF008AEF"/>
      </dataBar>
      <extLst>
        <ext xmlns:x14="http://schemas.microsoft.com/office/spreadsheetml/2009/9/main" uri="{B025F937-C7B1-47D3-B67F-A62EFF666E3E}">
          <x14:id>{A08753D4-974B-4AE0-8DA3-259DAB3CD33A}</x14:id>
        </ext>
      </extLst>
    </cfRule>
  </conditionalFormatting>
  <conditionalFormatting sqref="J11:J19">
    <cfRule type="dataBar" priority="1">
      <dataBar>
        <cfvo type="min"/>
        <cfvo type="max"/>
        <color rgb="FF63C384"/>
      </dataBar>
      <extLst>
        <ext xmlns:x14="http://schemas.microsoft.com/office/spreadsheetml/2009/9/main" uri="{B025F937-C7B1-47D3-B67F-A62EFF666E3E}">
          <x14:id>{115D111B-0C1B-4EB8-ACE6-01EC52382516}</x14:id>
        </ext>
      </extLst>
    </cfRule>
  </conditionalFormatting>
  <dataValidations count="1">
    <dataValidation type="list" allowBlank="1" showInputMessage="1" showErrorMessage="1" sqref="U4:U6" xr:uid="{2F97574E-75FB-401B-AC84-1F6D86D05FDA}">
      <formula1>"Yes,No"</formula1>
    </dataValidation>
  </dataValidations>
  <pageMargins left="0.7" right="0.7" top="0.75" bottom="0.75" header="0.3" footer="0.3"/>
  <pageSetup paperSize="9" orientation="portrait" horizontalDpi="4294967293" verticalDpi="0" r:id="rId1"/>
  <tableParts count="3">
    <tablePart r:id="rId2"/>
    <tablePart r:id="rId3"/>
    <tablePart r:id="rId4"/>
  </tableParts>
  <extLst>
    <ext xmlns:x14="http://schemas.microsoft.com/office/spreadsheetml/2009/9/main" uri="{78C0D931-6437-407d-A8EE-F0AAD7539E65}">
      <x14:conditionalFormattings>
        <x14:conditionalFormatting xmlns:xm="http://schemas.microsoft.com/office/excel/2006/main">
          <x14:cfRule type="dataBar" id="{92DEE5A8-1695-42D8-BFE0-EA14A60BE061}">
            <x14:dataBar minLength="0" maxLength="100" border="1" negativeBarBorderColorSameAsPositive="0">
              <x14:cfvo type="autoMin"/>
              <x14:cfvo type="autoMax"/>
              <x14:borderColor rgb="FFFFB628"/>
              <x14:negativeFillColor rgb="FFFF0000"/>
              <x14:negativeBorderColor rgb="FFFF0000"/>
              <x14:axisColor rgb="FF000000"/>
            </x14:dataBar>
          </x14:cfRule>
          <xm:sqref>U11:U19</xm:sqref>
        </x14:conditionalFormatting>
        <x14:conditionalFormatting xmlns:xm="http://schemas.microsoft.com/office/excel/2006/main">
          <x14:cfRule type="dataBar" id="{A08753D4-974B-4AE0-8DA3-259DAB3CD33A}">
            <x14:dataBar minLength="0" maxLength="100" border="1" negativeBarBorderColorSameAsPositive="0">
              <x14:cfvo type="autoMin"/>
              <x14:cfvo type="autoMax"/>
              <x14:borderColor rgb="FF008AEF"/>
              <x14:negativeFillColor rgb="FFFF0000"/>
              <x14:negativeBorderColor rgb="FFFF0000"/>
              <x14:axisColor rgb="FF000000"/>
            </x14:dataBar>
          </x14:cfRule>
          <xm:sqref>W11:W19</xm:sqref>
        </x14:conditionalFormatting>
        <x14:conditionalFormatting xmlns:xm="http://schemas.microsoft.com/office/excel/2006/main">
          <x14:cfRule type="dataBar" id="{115D111B-0C1B-4EB8-ACE6-01EC52382516}">
            <x14:dataBar minLength="0" maxLength="100" border="1" negativeBarBorderColorSameAsPositive="0">
              <x14:cfvo type="autoMin"/>
              <x14:cfvo type="autoMax"/>
              <x14:borderColor rgb="FF63C384"/>
              <x14:negativeFillColor rgb="FFFF0000"/>
              <x14:negativeBorderColor rgb="FFFF0000"/>
              <x14:axisColor rgb="FF000000"/>
            </x14:dataBar>
          </x14:cfRule>
          <xm:sqref>J11:J19</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3D15A-780D-485B-8438-4282E73D3938}">
  <sheetPr>
    <tabColor rgb="FF00B050"/>
  </sheetPr>
  <dimension ref="A1:AM41"/>
  <sheetViews>
    <sheetView showGridLines="0" workbookViewId="0"/>
  </sheetViews>
  <sheetFormatPr defaultRowHeight="14.25" x14ac:dyDescent="0.45"/>
  <cols>
    <col min="1" max="1" width="2.59765625" customWidth="1"/>
    <col min="2" max="2" width="17.86328125" customWidth="1"/>
    <col min="3" max="3" width="19.6640625" bestFit="1" customWidth="1"/>
    <col min="4" max="4" width="20.59765625" bestFit="1" customWidth="1"/>
    <col min="5" max="5" width="18.06640625" customWidth="1"/>
    <col min="6" max="6" width="18" customWidth="1"/>
    <col min="7" max="7" width="4" customWidth="1"/>
    <col min="8" max="8" width="20.53125" customWidth="1"/>
    <col min="9" max="9" width="14.1328125" customWidth="1"/>
    <col min="10" max="10" width="11.59765625" customWidth="1"/>
    <col min="11" max="11" width="11.73046875" bestFit="1" customWidth="1"/>
    <col min="12" max="12" width="28.796875" customWidth="1"/>
    <col min="13" max="13" width="4" customWidth="1"/>
    <col min="14" max="14" width="11.06640625" customWidth="1"/>
    <col min="15" max="15" width="28.19921875" bestFit="1" customWidth="1"/>
    <col min="16" max="16" width="19.53125" customWidth="1"/>
    <col min="17" max="17" width="14.59765625" customWidth="1"/>
    <col min="18" max="18" width="12.19921875" bestFit="1" customWidth="1"/>
    <col min="19" max="19" width="13.53125" bestFit="1" customWidth="1"/>
    <col min="20" max="20" width="8.59765625" customWidth="1"/>
    <col min="21" max="21" width="10.19921875" customWidth="1"/>
    <col min="22" max="22" width="63.3984375" customWidth="1"/>
    <col min="23" max="23" width="4" customWidth="1"/>
    <col min="24" max="24" width="15.59765625" customWidth="1"/>
    <col min="25" max="25" width="10.33203125" bestFit="1" customWidth="1"/>
    <col min="26" max="26" width="11.796875" bestFit="1" customWidth="1"/>
    <col min="27" max="27" width="15.6640625" customWidth="1"/>
    <col min="28" max="28" width="13.53125" customWidth="1"/>
    <col min="29" max="29" width="13.3984375" customWidth="1"/>
    <col min="30" max="30" width="19.1328125" customWidth="1"/>
    <col min="31" max="31" width="15.796875" bestFit="1" customWidth="1"/>
    <col min="32" max="32" width="14.86328125" bestFit="1" customWidth="1"/>
    <col min="33" max="33" width="22.86328125" bestFit="1" customWidth="1"/>
    <col min="34" max="34" width="15.796875" bestFit="1" customWidth="1"/>
    <col min="36" max="36" width="20.86328125" customWidth="1"/>
    <col min="37" max="37" width="16" bestFit="1" customWidth="1"/>
    <col min="38" max="38" width="22.59765625" bestFit="1" customWidth="1"/>
    <col min="39" max="39" width="21.265625" customWidth="1"/>
  </cols>
  <sheetData>
    <row r="1" spans="1:38" ht="23.25" x14ac:dyDescent="0.7">
      <c r="A1" s="1" t="s">
        <v>554</v>
      </c>
    </row>
    <row r="2" spans="1:38" x14ac:dyDescent="0.45">
      <c r="A2" s="13" t="s">
        <v>555</v>
      </c>
    </row>
    <row r="4" spans="1:38" ht="19.899999999999999" thickBot="1" x14ac:dyDescent="0.65">
      <c r="B4" s="6" t="s">
        <v>781</v>
      </c>
      <c r="H4" s="104" t="s">
        <v>565</v>
      </c>
      <c r="N4" s="104" t="s">
        <v>663</v>
      </c>
      <c r="X4" s="104" t="s">
        <v>587</v>
      </c>
      <c r="AJ4" s="104" t="s">
        <v>806</v>
      </c>
    </row>
    <row r="5" spans="1:38" ht="14.65" thickTop="1" x14ac:dyDescent="0.45">
      <c r="B5" s="56" t="s">
        <v>782</v>
      </c>
      <c r="H5" s="56" t="s">
        <v>787</v>
      </c>
      <c r="N5" s="56" t="s">
        <v>789</v>
      </c>
    </row>
    <row r="6" spans="1:38" x14ac:dyDescent="0.45">
      <c r="B6" s="56" t="s">
        <v>783</v>
      </c>
      <c r="H6" s="56" t="s">
        <v>788</v>
      </c>
      <c r="N6" s="56" t="s">
        <v>800</v>
      </c>
    </row>
    <row r="7" spans="1:38" x14ac:dyDescent="0.45">
      <c r="E7" s="132"/>
      <c r="F7" s="132"/>
      <c r="G7" s="132"/>
      <c r="N7" s="148" t="s">
        <v>799</v>
      </c>
    </row>
    <row r="8" spans="1:38" x14ac:dyDescent="0.45">
      <c r="E8" s="132"/>
      <c r="F8" s="132"/>
      <c r="G8" s="132"/>
    </row>
    <row r="9" spans="1:38" ht="53.25" x14ac:dyDescent="0.45">
      <c r="C9" s="17" t="s">
        <v>344</v>
      </c>
      <c r="D9" s="17" t="s">
        <v>345</v>
      </c>
      <c r="E9" s="17" t="s">
        <v>348</v>
      </c>
      <c r="F9" s="17" t="s">
        <v>558</v>
      </c>
      <c r="G9" s="17"/>
      <c r="J9" s="17"/>
      <c r="K9" s="17" t="s">
        <v>644</v>
      </c>
      <c r="L9" s="17" t="s">
        <v>645</v>
      </c>
    </row>
    <row r="10" spans="1:38" ht="28.5" x14ac:dyDescent="0.45">
      <c r="B10" s="8" t="s">
        <v>340</v>
      </c>
      <c r="C10" s="8" t="s">
        <v>341</v>
      </c>
      <c r="D10" s="8" t="s">
        <v>342</v>
      </c>
      <c r="E10" s="8" t="s">
        <v>556</v>
      </c>
      <c r="F10" s="8" t="s">
        <v>557</v>
      </c>
      <c r="G10" s="8"/>
      <c r="H10" s="144" t="s">
        <v>566</v>
      </c>
      <c r="I10" s="144" t="s">
        <v>567</v>
      </c>
      <c r="J10" s="144" t="s">
        <v>568</v>
      </c>
      <c r="K10" s="144" t="s">
        <v>642</v>
      </c>
      <c r="L10" s="144" t="s">
        <v>643</v>
      </c>
      <c r="N10" s="111" t="s">
        <v>619</v>
      </c>
      <c r="O10" s="8" t="s">
        <v>593</v>
      </c>
      <c r="P10" s="8" t="s">
        <v>594</v>
      </c>
      <c r="Q10" s="8" t="s">
        <v>597</v>
      </c>
      <c r="R10" s="8" t="s">
        <v>595</v>
      </c>
      <c r="S10" s="111" t="s">
        <v>598</v>
      </c>
      <c r="T10" s="111" t="s">
        <v>596</v>
      </c>
      <c r="U10" s="111" t="s">
        <v>640</v>
      </c>
      <c r="V10" s="111" t="s">
        <v>54</v>
      </c>
      <c r="X10" s="155" t="s">
        <v>559</v>
      </c>
      <c r="Y10" s="155" t="s">
        <v>560</v>
      </c>
      <c r="Z10" s="155" t="s">
        <v>561</v>
      </c>
      <c r="AA10" s="155" t="s">
        <v>562</v>
      </c>
      <c r="AB10" s="155" t="s">
        <v>563</v>
      </c>
      <c r="AC10" s="155" t="s">
        <v>802</v>
      </c>
      <c r="AD10" s="155" t="s">
        <v>803</v>
      </c>
      <c r="AE10" s="155" t="s">
        <v>564</v>
      </c>
      <c r="AF10" s="155" t="s">
        <v>801</v>
      </c>
      <c r="AG10" s="155" t="s">
        <v>804</v>
      </c>
      <c r="AH10" s="155" t="s">
        <v>805</v>
      </c>
      <c r="AJ10" s="117" t="s">
        <v>600</v>
      </c>
      <c r="AK10" s="117" t="s">
        <v>616</v>
      </c>
      <c r="AL10" s="117" t="s">
        <v>601</v>
      </c>
    </row>
    <row r="11" spans="1:38" ht="23.25" x14ac:dyDescent="0.45">
      <c r="B11" s="137">
        <v>12</v>
      </c>
      <c r="C11" s="141">
        <f>ROUNDUP(((B11-2)^2)-(4*(B11-3)*50%)-(4*(B11-4)*25%),0)</f>
        <v>74</v>
      </c>
      <c r="D11" s="141">
        <f>ROUNDUP((((B11-1)*4*25%)*2)+((B11-1)*4),0)</f>
        <v>66</v>
      </c>
      <c r="E11" s="141">
        <f>ROUNDUP(C11*10%,0)</f>
        <v>8</v>
      </c>
      <c r="F11" s="141">
        <f>2^((B11/2)-6)</f>
        <v>1</v>
      </c>
      <c r="H11" s="142">
        <v>6</v>
      </c>
      <c r="I11" s="143">
        <v>3</v>
      </c>
      <c r="J11" s="67">
        <f>LOG(I11+1,2)</f>
        <v>2</v>
      </c>
      <c r="K11" s="67">
        <f>IFERROR(MAX(0,I12-I11),0)</f>
        <v>4</v>
      </c>
      <c r="L11" s="67">
        <f>IFERROR(INDEX(IslandSize[Island size (e.g. 12)],MATCH(K11,IslandSize[Favor on conquest and handover],0)),"-")</f>
        <v>16</v>
      </c>
      <c r="N11" s="120">
        <v>1</v>
      </c>
      <c r="O11" s="145" t="s">
        <v>793</v>
      </c>
      <c r="P11" s="118" t="s">
        <v>623</v>
      </c>
      <c r="Q11" s="118" t="s">
        <v>794</v>
      </c>
      <c r="R11" s="118"/>
      <c r="S11" s="118" t="s">
        <v>180</v>
      </c>
      <c r="T11" s="146" t="s">
        <v>795</v>
      </c>
      <c r="U11" s="119"/>
      <c r="V11" s="118" t="s">
        <v>796</v>
      </c>
      <c r="X11" s="151" t="s">
        <v>330</v>
      </c>
      <c r="Y11" s="140">
        <f>SUM(SUMIFS(IslandModel_1000P[Input 1 Needed],IslandModel_1000P[Input 1],"Land tile",'1000Paragons'!$AC$21:$AC$147,IslandSize!$X11),
SUMIFS(IslandModel_1000P[Input 1 Needed],IslandModel_1000P[Input 1],"Mountain tile",'1000Paragons'!$AC$21:$AC$147,IslandSize!$X11))</f>
        <v>4</v>
      </c>
      <c r="Z11" s="124" cm="1">
        <f t="array" ref="Z11">INDEX(IslandSize[Island size (e.g. 12)],COUNTIFS(IslandSize[Estimated land area],"&lt;"&amp;ThousandParagonIslandSize[[#This Row],[Land required]])+1)</f>
        <v>12</v>
      </c>
      <c r="AA11" s="124">
        <f>INDEX(IslandSize[Estimated land area],MATCH(ThousandParagonIslandSize[[#This Row],[Minimum Island Size]],IslandSize[Island size (e.g. 12)],0))</f>
        <v>74</v>
      </c>
      <c r="AB11" s="158">
        <f>ThousandParagonIslandSize[[#This Row],[Land required]]/ThousandParagonIslandSize[[#This Row],[Estimated Land Area on Island]]</f>
        <v>5.4054054054054057E-2</v>
      </c>
      <c r="AC11" s="124">
        <f>ThousandParagonIslandSize[[#This Row],[Minimum Island Size]]+2</f>
        <v>14</v>
      </c>
      <c r="AD11" s="124">
        <f>INDEX(IslandSize[Estimated land area],MATCH(ThousandParagonIslandSize[[#This Row],[Next size up]],IslandSize[Island size (e.g. 12)],0))</f>
        <v>112</v>
      </c>
      <c r="AE11" s="158">
        <f>ThousandParagonIslandSize[[#This Row],[Land required]]/ThousandParagonIslandSize[[#This Row],[Estimated Land Area on next size up]]</f>
        <v>3.5714285714285712E-2</v>
      </c>
      <c r="AF11" s="154">
        <f>ThousandParagonIslandSize[[#This Row],[Next size up]]+2</f>
        <v>16</v>
      </c>
      <c r="AG11" s="124">
        <f>INDEX(IslandSize[Estimated land area],MATCH(ThousandParagonIslandSize[[#This Row],[Two sizes up]],IslandSize[Island size (e.g. 12)],0))</f>
        <v>158</v>
      </c>
      <c r="AH11" s="158">
        <f>ThousandParagonIslandSize[[#This Row],[Land required]]/ThousandParagonIslandSize[[#This Row],[Estimated Land Area on two sizes up]]</f>
        <v>2.5316455696202531E-2</v>
      </c>
      <c r="AJ11" s="150" t="s">
        <v>605</v>
      </c>
      <c r="AK11" s="150"/>
      <c r="AL11" s="150"/>
    </row>
    <row r="12" spans="1:38" ht="23.25" x14ac:dyDescent="0.45">
      <c r="B12" s="138">
        <f>B11+2</f>
        <v>14</v>
      </c>
      <c r="C12" s="141">
        <f t="shared" ref="C12:C25" si="0">ROUNDUP(((B12-2)^2)-(4*(B12-3)*50%)-(4*(B12-4)*25%),0)</f>
        <v>112</v>
      </c>
      <c r="D12" s="141">
        <f t="shared" ref="D12:D24" si="1">ROUNDUP((((B12-1)*4*25%)*2)+((B12-1)*4),0)</f>
        <v>78</v>
      </c>
      <c r="E12" s="141">
        <f t="shared" ref="E12:E24" si="2">ROUNDUP(C12*10%,0)</f>
        <v>12</v>
      </c>
      <c r="F12" s="141">
        <f t="shared" ref="F12:F18" si="3">2^((B12/2)-6)</f>
        <v>2</v>
      </c>
      <c r="H12" s="135">
        <f>H11+1</f>
        <v>7</v>
      </c>
      <c r="I12" s="67">
        <f>2^(J11+1)-1</f>
        <v>7</v>
      </c>
      <c r="J12" s="67">
        <f>LOG(I12+1,2)</f>
        <v>3</v>
      </c>
      <c r="K12" s="67">
        <f t="shared" ref="K12:K23" si="4">IFERROR(MAX(0,I13-I12),0)</f>
        <v>8</v>
      </c>
      <c r="L12" s="67">
        <f>IFERROR(INDEX(IslandSize[Island size (e.g. 12)],MATCH(K12,IslandSize[Favor on conquest and handover],0)),"-")</f>
        <v>18</v>
      </c>
      <c r="N12" s="120">
        <v>2</v>
      </c>
      <c r="O12" s="145" t="s">
        <v>569</v>
      </c>
      <c r="P12" s="118" t="s">
        <v>69</v>
      </c>
      <c r="Q12" s="118" t="s">
        <v>513</v>
      </c>
      <c r="R12" s="118"/>
      <c r="S12" s="118" t="s">
        <v>621</v>
      </c>
      <c r="T12" s="147" t="s">
        <v>622</v>
      </c>
      <c r="U12" s="119"/>
      <c r="V12" s="118" t="s">
        <v>792</v>
      </c>
      <c r="X12" s="151" t="s">
        <v>63</v>
      </c>
      <c r="Y12" s="140">
        <f>SUM(SUMIFS(IslandModel_1000P[Input 1 Needed],IslandModel_1000P[Input 1],"Land tile",'1000Paragons'!$AC$21:$AC$147,IslandSize!$X12),
SUMIFS(IslandModel_1000P[Input 1 Needed],IslandModel_1000P[Input 1],"Mountain tile",'1000Paragons'!$AC$21:$AC$147,IslandSize!$X12))</f>
        <v>24</v>
      </c>
      <c r="Z12" s="124" cm="1">
        <f t="array" ref="Z12">INDEX(IslandSize[Island size (e.g. 12)],COUNTIFS(IslandSize[Estimated land area],"&lt;"&amp;ThousandParagonIslandSize[[#This Row],[Land required]])+1)</f>
        <v>12</v>
      </c>
      <c r="AA12" s="124">
        <f>INDEX(IslandSize[Estimated land area],MATCH(ThousandParagonIslandSize[[#This Row],[Minimum Island Size]],IslandSize[Island size (e.g. 12)],0))</f>
        <v>74</v>
      </c>
      <c r="AB12" s="158">
        <f>ThousandParagonIslandSize[[#This Row],[Land required]]/ThousandParagonIslandSize[[#This Row],[Estimated Land Area on Island]]</f>
        <v>0.32432432432432434</v>
      </c>
      <c r="AC12" s="124">
        <f>ThousandParagonIslandSize[[#This Row],[Minimum Island Size]]+2</f>
        <v>14</v>
      </c>
      <c r="AD12" s="154">
        <f>INDEX(IslandSize[Estimated land area],MATCH(ThousandParagonIslandSize[[#This Row],[Next size up]],IslandSize[Island size (e.g. 12)],0))</f>
        <v>112</v>
      </c>
      <c r="AE12" s="158">
        <f>ThousandParagonIslandSize[[#This Row],[Land required]]/ThousandParagonIslandSize[[#This Row],[Estimated Land Area on next size up]]</f>
        <v>0.21428571428571427</v>
      </c>
      <c r="AF12" s="154">
        <f>ThousandParagonIslandSize[[#This Row],[Next size up]]+2</f>
        <v>16</v>
      </c>
      <c r="AG12" s="154">
        <f>INDEX(IslandSize[Estimated land area],MATCH(ThousandParagonIslandSize[[#This Row],[Two sizes up]],IslandSize[Island size (e.g. 12)],0))</f>
        <v>158</v>
      </c>
      <c r="AH12" s="158">
        <f>ThousandParagonIslandSize[[#This Row],[Land required]]/ThousandParagonIslandSize[[#This Row],[Estimated Land Area on two sizes up]]</f>
        <v>0.15189873417721519</v>
      </c>
      <c r="AJ12" s="150" t="s">
        <v>592</v>
      </c>
      <c r="AK12" s="150"/>
      <c r="AL12" s="150"/>
    </row>
    <row r="13" spans="1:38" ht="23.25" x14ac:dyDescent="0.45">
      <c r="B13" s="138">
        <f t="shared" ref="B13:B26" si="5">B12+2</f>
        <v>16</v>
      </c>
      <c r="C13" s="141">
        <f t="shared" si="0"/>
        <v>158</v>
      </c>
      <c r="D13" s="141">
        <f t="shared" si="1"/>
        <v>90</v>
      </c>
      <c r="E13" s="141">
        <f t="shared" si="2"/>
        <v>16</v>
      </c>
      <c r="F13" s="141">
        <f t="shared" si="3"/>
        <v>4</v>
      </c>
      <c r="H13" s="135">
        <f t="shared" ref="H13:H41" si="6">H12+1</f>
        <v>8</v>
      </c>
      <c r="I13" s="67">
        <f t="shared" ref="I13:I23" si="7">2^(J12+1)-1</f>
        <v>15</v>
      </c>
      <c r="J13" s="67">
        <f t="shared" ref="J13:J23" si="8">LOG(I13+1,2)</f>
        <v>4</v>
      </c>
      <c r="K13" s="67">
        <f t="shared" si="4"/>
        <v>16</v>
      </c>
      <c r="L13" s="67">
        <f>IFERROR(INDEX(IslandSize[Island size (e.g. 12)],MATCH(K13,IslandSize[Favor on conquest and handover],0)),"-")</f>
        <v>20</v>
      </c>
      <c r="N13" s="120">
        <v>3</v>
      </c>
      <c r="O13" s="145" t="s">
        <v>599</v>
      </c>
      <c r="P13" s="118" t="s">
        <v>69</v>
      </c>
      <c r="Q13" s="118" t="s">
        <v>623</v>
      </c>
      <c r="R13" s="118" t="s">
        <v>514</v>
      </c>
      <c r="S13" s="118" t="s">
        <v>620</v>
      </c>
      <c r="T13" s="147" t="s">
        <v>624</v>
      </c>
      <c r="U13" s="119"/>
      <c r="V13" s="118" t="s">
        <v>790</v>
      </c>
      <c r="X13" s="152" t="s">
        <v>66</v>
      </c>
      <c r="Y13" s="140">
        <f>SUM(SUMIFS(IslandModel_1000P[Input 1 Needed],IslandModel_1000P[Input 1],"Land tile",'1000Paragons'!$AC$21:$AC$147,IslandSize!$X13),
SUMIFS(IslandModel_1000P[Input 1 Needed],IslandModel_1000P[Input 1],"Mountain tile",'1000Paragons'!$AC$21:$AC$147,IslandSize!$X13))</f>
        <v>90</v>
      </c>
      <c r="Z13" s="124" cm="1">
        <f t="array" ref="Z13">INDEX(IslandSize[Island size (e.g. 12)],COUNTIFS(IslandSize[Estimated land area],"&lt;"&amp;ThousandParagonIslandSize[[#This Row],[Land required]])+1)</f>
        <v>14</v>
      </c>
      <c r="AA13" s="124">
        <f>INDEX(IslandSize[Estimated land area],MATCH(ThousandParagonIslandSize[[#This Row],[Minimum Island Size]],IslandSize[Island size (e.g. 12)],0))</f>
        <v>112</v>
      </c>
      <c r="AB13" s="158">
        <f>ThousandParagonIslandSize[[#This Row],[Land required]]/ThousandParagonIslandSize[[#This Row],[Estimated Land Area on Island]]</f>
        <v>0.8035714285714286</v>
      </c>
      <c r="AC13" s="124">
        <f>ThousandParagonIslandSize[[#This Row],[Minimum Island Size]]+2</f>
        <v>16</v>
      </c>
      <c r="AD13" s="154">
        <f>INDEX(IslandSize[Estimated land area],MATCH(ThousandParagonIslandSize[[#This Row],[Next size up]],IslandSize[Island size (e.g. 12)],0))</f>
        <v>158</v>
      </c>
      <c r="AE13" s="158">
        <f>ThousandParagonIslandSize[[#This Row],[Land required]]/ThousandParagonIslandSize[[#This Row],[Estimated Land Area on next size up]]</f>
        <v>0.569620253164557</v>
      </c>
      <c r="AF13" s="160">
        <f>ThousandParagonIslandSize[[#This Row],[Next size up]]+2</f>
        <v>18</v>
      </c>
      <c r="AG13" s="154">
        <f>INDEX(IslandSize[Estimated land area],MATCH(ThousandParagonIslandSize[[#This Row],[Two sizes up]],IslandSize[Island size (e.g. 12)],0))</f>
        <v>212</v>
      </c>
      <c r="AH13" s="158">
        <f>ThousandParagonIslandSize[[#This Row],[Land required]]/ThousandParagonIslandSize[[#This Row],[Estimated Land Area on two sizes up]]</f>
        <v>0.42452830188679247</v>
      </c>
      <c r="AJ13" s="150" t="s">
        <v>611</v>
      </c>
      <c r="AK13" s="150"/>
      <c r="AL13" s="150"/>
    </row>
    <row r="14" spans="1:38" ht="28.5" x14ac:dyDescent="0.45">
      <c r="B14" s="138">
        <f t="shared" si="5"/>
        <v>18</v>
      </c>
      <c r="C14" s="141">
        <f t="shared" si="0"/>
        <v>212</v>
      </c>
      <c r="D14" s="141">
        <f t="shared" si="1"/>
        <v>102</v>
      </c>
      <c r="E14" s="141">
        <f t="shared" si="2"/>
        <v>22</v>
      </c>
      <c r="F14" s="141">
        <f t="shared" si="3"/>
        <v>8</v>
      </c>
      <c r="H14" s="135">
        <f t="shared" si="6"/>
        <v>9</v>
      </c>
      <c r="I14" s="67">
        <f t="shared" si="7"/>
        <v>31</v>
      </c>
      <c r="J14" s="67">
        <f t="shared" si="8"/>
        <v>5</v>
      </c>
      <c r="K14" s="67">
        <f t="shared" si="4"/>
        <v>32</v>
      </c>
      <c r="L14" s="67">
        <f>IFERROR(INDEX(IslandSize[Island size (e.g. 12)],MATCH(K14,IslandSize[Favor on conquest and handover],0)),"-")</f>
        <v>22</v>
      </c>
      <c r="N14" s="120">
        <v>4</v>
      </c>
      <c r="O14" s="145" t="s">
        <v>797</v>
      </c>
      <c r="P14" s="118" t="s">
        <v>69</v>
      </c>
      <c r="Q14" s="118"/>
      <c r="R14" s="118"/>
      <c r="S14" s="118"/>
      <c r="T14" s="147" t="s">
        <v>622</v>
      </c>
      <c r="U14" s="119"/>
      <c r="V14" s="118"/>
      <c r="X14" s="152" t="s">
        <v>72</v>
      </c>
      <c r="Y14" s="140">
        <f>SUM(SUMIFS(IslandModel_1000P[Input 1 Needed],IslandModel_1000P[Input 1],"Land tile",'1000Paragons'!$AC$21:$AC$147,IslandSize!$X14),
SUMIFS(IslandModel_1000P[Input 1 Needed],IslandModel_1000P[Input 1],"Mountain tile",'1000Paragons'!$AC$21:$AC$147,IslandSize!$X14))</f>
        <v>86</v>
      </c>
      <c r="Z14" s="124" cm="1">
        <f t="array" ref="Z14">INDEX(IslandSize[Island size (e.g. 12)],COUNTIFS(IslandSize[Estimated land area],"&lt;"&amp;ThousandParagonIslandSize[[#This Row],[Land required]])+1)</f>
        <v>14</v>
      </c>
      <c r="AA14" s="124">
        <f>INDEX(IslandSize[Estimated land area],MATCH(ThousandParagonIslandSize[[#This Row],[Minimum Island Size]],IslandSize[Island size (e.g. 12)],0))</f>
        <v>112</v>
      </c>
      <c r="AB14" s="158">
        <f>ThousandParagonIslandSize[[#This Row],[Land required]]/ThousandParagonIslandSize[[#This Row],[Estimated Land Area on Island]]</f>
        <v>0.7678571428571429</v>
      </c>
      <c r="AC14" s="124">
        <f>ThousandParagonIslandSize[[#This Row],[Minimum Island Size]]+2</f>
        <v>16</v>
      </c>
      <c r="AD14" s="154">
        <f>INDEX(IslandSize[Estimated land area],MATCH(ThousandParagonIslandSize[[#This Row],[Next size up]],IslandSize[Island size (e.g. 12)],0))</f>
        <v>158</v>
      </c>
      <c r="AE14" s="158">
        <f>ThousandParagonIslandSize[[#This Row],[Land required]]/ThousandParagonIslandSize[[#This Row],[Estimated Land Area on next size up]]</f>
        <v>0.54430379746835444</v>
      </c>
      <c r="AF14" s="160">
        <f>ThousandParagonIslandSize[[#This Row],[Next size up]]+2</f>
        <v>18</v>
      </c>
      <c r="AG14" s="154">
        <f>INDEX(IslandSize[Estimated land area],MATCH(ThousandParagonIslandSize[[#This Row],[Two sizes up]],IslandSize[Island size (e.g. 12)],0))</f>
        <v>212</v>
      </c>
      <c r="AH14" s="158">
        <f>ThousandParagonIslandSize[[#This Row],[Land required]]/ThousandParagonIslandSize[[#This Row],[Estimated Land Area on two sizes up]]</f>
        <v>0.40566037735849059</v>
      </c>
      <c r="AJ14" s="150" t="s">
        <v>606</v>
      </c>
      <c r="AK14" s="150"/>
      <c r="AL14" s="150"/>
    </row>
    <row r="15" spans="1:38" ht="28.5" x14ac:dyDescent="0.45">
      <c r="B15" s="138">
        <f t="shared" si="5"/>
        <v>20</v>
      </c>
      <c r="C15" s="141">
        <f t="shared" si="0"/>
        <v>274</v>
      </c>
      <c r="D15" s="141">
        <f t="shared" si="1"/>
        <v>114</v>
      </c>
      <c r="E15" s="141">
        <f t="shared" si="2"/>
        <v>28</v>
      </c>
      <c r="F15" s="141">
        <f t="shared" si="3"/>
        <v>16</v>
      </c>
      <c r="H15" s="135">
        <f t="shared" si="6"/>
        <v>10</v>
      </c>
      <c r="I15" s="67">
        <f t="shared" si="7"/>
        <v>63</v>
      </c>
      <c r="J15" s="67">
        <f t="shared" si="8"/>
        <v>6</v>
      </c>
      <c r="K15" s="67">
        <f t="shared" si="4"/>
        <v>64</v>
      </c>
      <c r="L15" s="67">
        <f>IFERROR(INDEX(IslandSize[Island size (e.g. 12)],MATCH(K15,IslandSize[Favor on conquest and handover],0)),"-")</f>
        <v>24</v>
      </c>
      <c r="N15" s="120">
        <v>5</v>
      </c>
      <c r="O15" s="145" t="s">
        <v>665</v>
      </c>
      <c r="P15" s="118" t="s">
        <v>513</v>
      </c>
      <c r="Q15" s="118"/>
      <c r="R15" s="118"/>
      <c r="S15" s="118"/>
      <c r="T15" s="147">
        <v>22</v>
      </c>
      <c r="U15" s="119"/>
      <c r="V15" s="118"/>
      <c r="X15" s="151" t="s">
        <v>331</v>
      </c>
      <c r="Y15" s="140">
        <f>SUM(SUMIFS(IslandModel_1000P[Input 1 Needed],IslandModel_1000P[Input 1],"Land tile",'1000Paragons'!$AC$21:$AC$147,IslandSize!$X15),
SUMIFS(IslandModel_1000P[Input 1 Needed],IslandModel_1000P[Input 1],"Mountain tile",'1000Paragons'!$AC$21:$AC$147,IslandSize!$X15))</f>
        <v>2</v>
      </c>
      <c r="Z15" s="124" cm="1">
        <f t="array" ref="Z15">INDEX(IslandSize[Island size (e.g. 12)],COUNTIFS(IslandSize[Estimated land area],"&lt;"&amp;ThousandParagonIslandSize[[#This Row],[Land required]])+1)</f>
        <v>12</v>
      </c>
      <c r="AA15" s="124">
        <f>INDEX(IslandSize[Estimated land area],MATCH(ThousandParagonIslandSize[[#This Row],[Minimum Island Size]],IslandSize[Island size (e.g. 12)],0))</f>
        <v>74</v>
      </c>
      <c r="AB15" s="158">
        <f>ThousandParagonIslandSize[[#This Row],[Land required]]/ThousandParagonIslandSize[[#This Row],[Estimated Land Area on Island]]</f>
        <v>2.7027027027027029E-2</v>
      </c>
      <c r="AC15" s="124">
        <f>ThousandParagonIslandSize[[#This Row],[Minimum Island Size]]+2</f>
        <v>14</v>
      </c>
      <c r="AD15" s="154">
        <f>INDEX(IslandSize[Estimated land area],MATCH(ThousandParagonIslandSize[[#This Row],[Next size up]],IslandSize[Island size (e.g. 12)],0))</f>
        <v>112</v>
      </c>
      <c r="AE15" s="158">
        <f>ThousandParagonIslandSize[[#This Row],[Land required]]/ThousandParagonIslandSize[[#This Row],[Estimated Land Area on next size up]]</f>
        <v>1.7857142857142856E-2</v>
      </c>
      <c r="AF15" s="154">
        <f>ThousandParagonIslandSize[[#This Row],[Next size up]]+2</f>
        <v>16</v>
      </c>
      <c r="AG15" s="154">
        <f>INDEX(IslandSize[Estimated land area],MATCH(ThousandParagonIslandSize[[#This Row],[Two sizes up]],IslandSize[Island size (e.g. 12)],0))</f>
        <v>158</v>
      </c>
      <c r="AH15" s="158">
        <f>ThousandParagonIslandSize[[#This Row],[Land required]]/ThousandParagonIslandSize[[#This Row],[Estimated Land Area on two sizes up]]</f>
        <v>1.2658227848101266E-2</v>
      </c>
      <c r="AJ15" s="150" t="s">
        <v>591</v>
      </c>
      <c r="AK15" s="150"/>
      <c r="AL15" s="150"/>
    </row>
    <row r="16" spans="1:38" ht="28.5" x14ac:dyDescent="0.45">
      <c r="B16" s="138">
        <f t="shared" si="5"/>
        <v>22</v>
      </c>
      <c r="C16" s="141">
        <f t="shared" si="0"/>
        <v>344</v>
      </c>
      <c r="D16" s="141">
        <f t="shared" si="1"/>
        <v>126</v>
      </c>
      <c r="E16" s="141">
        <f t="shared" si="2"/>
        <v>35</v>
      </c>
      <c r="F16" s="141">
        <f t="shared" si="3"/>
        <v>32</v>
      </c>
      <c r="H16" s="135">
        <f t="shared" si="6"/>
        <v>11</v>
      </c>
      <c r="I16" s="67">
        <f t="shared" si="7"/>
        <v>127</v>
      </c>
      <c r="J16" s="67">
        <f t="shared" si="8"/>
        <v>7</v>
      </c>
      <c r="K16" s="67">
        <f t="shared" si="4"/>
        <v>128</v>
      </c>
      <c r="L16" s="67">
        <f>IFERROR(INDEX(IslandSize[Island size (e.g. 12)],MATCH(K16,IslandSize[Favor on conquest and handover],0)),"-")</f>
        <v>26</v>
      </c>
      <c r="N16" s="120">
        <v>6</v>
      </c>
      <c r="O16" s="145" t="s">
        <v>666</v>
      </c>
      <c r="P16" s="118" t="s">
        <v>626</v>
      </c>
      <c r="Q16" s="118"/>
      <c r="R16" s="118"/>
      <c r="S16" s="118"/>
      <c r="T16" s="147">
        <v>22</v>
      </c>
      <c r="U16" s="119"/>
      <c r="V16" s="118"/>
      <c r="X16" s="152" t="s">
        <v>367</v>
      </c>
      <c r="Y16" s="140">
        <f>SUM(SUMIFS(IslandModel_1000P[Input 1 Needed],IslandModel_1000P[Input 1],"Land tile",'1000Paragons'!$AC$21:$AC$147,IslandSize!$X16),
SUMIFS(IslandModel_1000P[Input 1 Needed],IslandModel_1000P[Input 1],"Mountain tile",'1000Paragons'!$AC$21:$AC$147,IslandSize!$X16))</f>
        <v>19</v>
      </c>
      <c r="Z16" s="124" cm="1">
        <f t="array" ref="Z16">INDEX(IslandSize[Island size (e.g. 12)],COUNTIFS(IslandSize[Estimated land area],"&lt;"&amp;ThousandParagonIslandSize[[#This Row],[Land required]])+1)</f>
        <v>12</v>
      </c>
      <c r="AA16" s="124">
        <f>INDEX(IslandSize[Estimated land area],MATCH(ThousandParagonIslandSize[[#This Row],[Minimum Island Size]],IslandSize[Island size (e.g. 12)],0))</f>
        <v>74</v>
      </c>
      <c r="AB16" s="158">
        <f>ThousandParagonIslandSize[[#This Row],[Land required]]/ThousandParagonIslandSize[[#This Row],[Estimated Land Area on Island]]</f>
        <v>0.25675675675675674</v>
      </c>
      <c r="AC16" s="124">
        <f>ThousandParagonIslandSize[[#This Row],[Minimum Island Size]]+2</f>
        <v>14</v>
      </c>
      <c r="AD16" s="154">
        <f>INDEX(IslandSize[Estimated land area],MATCH(ThousandParagonIslandSize[[#This Row],[Next size up]],IslandSize[Island size (e.g. 12)],0))</f>
        <v>112</v>
      </c>
      <c r="AE16" s="158">
        <f>ThousandParagonIslandSize[[#This Row],[Land required]]/ThousandParagonIslandSize[[#This Row],[Estimated Land Area on next size up]]</f>
        <v>0.16964285714285715</v>
      </c>
      <c r="AF16" s="160">
        <f>ThousandParagonIslandSize[[#This Row],[Next size up]]+2</f>
        <v>16</v>
      </c>
      <c r="AG16" s="154">
        <f>INDEX(IslandSize[Estimated land area],MATCH(ThousandParagonIslandSize[[#This Row],[Two sizes up]],IslandSize[Island size (e.g. 12)],0))</f>
        <v>158</v>
      </c>
      <c r="AH16" s="158">
        <f>ThousandParagonIslandSize[[#This Row],[Land required]]/ThousandParagonIslandSize[[#This Row],[Estimated Land Area on two sizes up]]</f>
        <v>0.12025316455696203</v>
      </c>
      <c r="AJ16" s="150" t="s">
        <v>607</v>
      </c>
      <c r="AK16" s="150"/>
      <c r="AL16" s="150"/>
    </row>
    <row r="17" spans="2:39" ht="28.5" x14ac:dyDescent="0.45">
      <c r="B17" s="138">
        <f t="shared" si="5"/>
        <v>24</v>
      </c>
      <c r="C17" s="141">
        <f t="shared" si="0"/>
        <v>422</v>
      </c>
      <c r="D17" s="141">
        <f t="shared" si="1"/>
        <v>138</v>
      </c>
      <c r="E17" s="141">
        <f t="shared" si="2"/>
        <v>43</v>
      </c>
      <c r="F17" s="141">
        <f t="shared" si="3"/>
        <v>64</v>
      </c>
      <c r="H17" s="135">
        <f t="shared" si="6"/>
        <v>12</v>
      </c>
      <c r="I17" s="67">
        <f t="shared" si="7"/>
        <v>255</v>
      </c>
      <c r="J17" s="67">
        <f t="shared" si="8"/>
        <v>8</v>
      </c>
      <c r="K17" s="67">
        <f t="shared" si="4"/>
        <v>256</v>
      </c>
      <c r="L17" s="67">
        <f>IFERROR(INDEX(IslandSize[Island size (e.g. 12)],MATCH(K17,IslandSize[Favor on conquest and handover],0)),"-")</f>
        <v>34</v>
      </c>
      <c r="N17" s="120">
        <v>7</v>
      </c>
      <c r="O17" s="145" t="s">
        <v>667</v>
      </c>
      <c r="P17" s="118" t="s">
        <v>102</v>
      </c>
      <c r="Q17" s="118"/>
      <c r="R17" s="118"/>
      <c r="S17" s="118"/>
      <c r="T17" s="147">
        <v>18</v>
      </c>
      <c r="U17" s="119"/>
      <c r="V17" s="118"/>
      <c r="X17" s="152" t="s">
        <v>108</v>
      </c>
      <c r="Y17" s="140">
        <f>SUM(SUMIFS(IslandModel_1000P[Input 1 Needed],IslandModel_1000P[Input 1],"Land tile",'1000Paragons'!$AC$21:$AC$147,IslandSize!$X17),
SUMIFS(IslandModel_1000P[Input 1 Needed],IslandModel_1000P[Input 1],"Mountain tile",'1000Paragons'!$AC$21:$AC$147,IslandSize!$X17))</f>
        <v>84</v>
      </c>
      <c r="Z17" s="124" cm="1">
        <f t="array" ref="Z17">INDEX(IslandSize[Island size (e.g. 12)],COUNTIFS(IslandSize[Estimated land area],"&lt;"&amp;ThousandParagonIslandSize[[#This Row],[Land required]])+1)</f>
        <v>14</v>
      </c>
      <c r="AA17" s="124">
        <f>INDEX(IslandSize[Estimated land area],MATCH(ThousandParagonIslandSize[[#This Row],[Minimum Island Size]],IslandSize[Island size (e.g. 12)],0))</f>
        <v>112</v>
      </c>
      <c r="AB17" s="158">
        <f>ThousandParagonIslandSize[[#This Row],[Land required]]/ThousandParagonIslandSize[[#This Row],[Estimated Land Area on Island]]</f>
        <v>0.75</v>
      </c>
      <c r="AC17" s="160">
        <f>ThousandParagonIslandSize[[#This Row],[Minimum Island Size]]+2</f>
        <v>16</v>
      </c>
      <c r="AD17" s="154">
        <f>INDEX(IslandSize[Estimated land area],MATCH(ThousandParagonIslandSize[[#This Row],[Next size up]],IslandSize[Island size (e.g. 12)],0))</f>
        <v>158</v>
      </c>
      <c r="AE17" s="158">
        <f>ThousandParagonIslandSize[[#This Row],[Land required]]/ThousandParagonIslandSize[[#This Row],[Estimated Land Area on next size up]]</f>
        <v>0.53164556962025311</v>
      </c>
      <c r="AF17" s="154">
        <f>ThousandParagonIslandSize[[#This Row],[Next size up]]+2</f>
        <v>18</v>
      </c>
      <c r="AG17" s="154">
        <f>INDEX(IslandSize[Estimated land area],MATCH(ThousandParagonIslandSize[[#This Row],[Two sizes up]],IslandSize[Island size (e.g. 12)],0))</f>
        <v>212</v>
      </c>
      <c r="AH17" s="158">
        <f>ThousandParagonIslandSize[[#This Row],[Land required]]/ThousandParagonIslandSize[[#This Row],[Estimated Land Area on two sizes up]]</f>
        <v>0.39622641509433965</v>
      </c>
      <c r="AJ17" s="150" t="s">
        <v>608</v>
      </c>
      <c r="AK17" s="150"/>
      <c r="AL17" s="150"/>
      <c r="AM17" s="118"/>
    </row>
    <row r="18" spans="2:39" ht="23.25" x14ac:dyDescent="0.45">
      <c r="B18" s="138">
        <f t="shared" si="5"/>
        <v>26</v>
      </c>
      <c r="C18" s="141">
        <f t="shared" si="0"/>
        <v>508</v>
      </c>
      <c r="D18" s="141">
        <f t="shared" si="1"/>
        <v>150</v>
      </c>
      <c r="E18" s="141">
        <f t="shared" si="2"/>
        <v>51</v>
      </c>
      <c r="F18" s="141">
        <f t="shared" si="3"/>
        <v>128</v>
      </c>
      <c r="H18" s="135">
        <f t="shared" si="6"/>
        <v>13</v>
      </c>
      <c r="I18" s="67">
        <f t="shared" si="7"/>
        <v>511</v>
      </c>
      <c r="J18" s="67">
        <f t="shared" si="8"/>
        <v>9</v>
      </c>
      <c r="K18" s="67">
        <f t="shared" si="4"/>
        <v>512</v>
      </c>
      <c r="L18" s="67">
        <f>IFERROR(INDEX(IslandSize[Island size (e.g. 12)],MATCH(K18,IslandSize[Favor on conquest and handover],0)),"-")</f>
        <v>50</v>
      </c>
      <c r="N18" s="120">
        <v>8</v>
      </c>
      <c r="O18" s="145" t="s">
        <v>668</v>
      </c>
      <c r="P18" s="118" t="s">
        <v>627</v>
      </c>
      <c r="Q18" s="118"/>
      <c r="R18" s="118"/>
      <c r="S18" s="118"/>
      <c r="T18" s="147" t="s">
        <v>622</v>
      </c>
      <c r="U18" s="119"/>
      <c r="V18" s="118"/>
      <c r="X18" s="152" t="s">
        <v>116</v>
      </c>
      <c r="Y18" s="140">
        <f>SUM(SUMIFS(IslandModel_1000P[Input 1 Needed],IslandModel_1000P[Input 1],"Land tile",'1000Paragons'!$AC$21:$AC$147,IslandSize!$X18),
SUMIFS(IslandModel_1000P[Input 1 Needed],IslandModel_1000P[Input 1],"Mountain tile",'1000Paragons'!$AC$21:$AC$147,IslandSize!$X18))</f>
        <v>152</v>
      </c>
      <c r="Z18" s="124" cm="1">
        <f t="array" ref="Z18">INDEX(IslandSize[Island size (e.g. 12)],COUNTIFS(IslandSize[Estimated land area],"&lt;"&amp;ThousandParagonIslandSize[[#This Row],[Land required]])+1)</f>
        <v>16</v>
      </c>
      <c r="AA18" s="124">
        <f>INDEX(IslandSize[Estimated land area],MATCH(ThousandParagonIslandSize[[#This Row],[Minimum Island Size]],IslandSize[Island size (e.g. 12)],0))</f>
        <v>158</v>
      </c>
      <c r="AB18" s="158">
        <f>ThousandParagonIslandSize[[#This Row],[Land required]]/ThousandParagonIslandSize[[#This Row],[Estimated Land Area on Island]]</f>
        <v>0.96202531645569622</v>
      </c>
      <c r="AC18" s="160">
        <f>ThousandParagonIslandSize[[#This Row],[Minimum Island Size]]+2</f>
        <v>18</v>
      </c>
      <c r="AD18" s="154">
        <f>INDEX(IslandSize[Estimated land area],MATCH(ThousandParagonIslandSize[[#This Row],[Next size up]],IslandSize[Island size (e.g. 12)],0))</f>
        <v>212</v>
      </c>
      <c r="AE18" s="158">
        <f>ThousandParagonIslandSize[[#This Row],[Land required]]/ThousandParagonIslandSize[[#This Row],[Estimated Land Area on next size up]]</f>
        <v>0.71698113207547165</v>
      </c>
      <c r="AF18" s="154">
        <f>ThousandParagonIslandSize[[#This Row],[Next size up]]+2</f>
        <v>20</v>
      </c>
      <c r="AG18" s="154">
        <f>INDEX(IslandSize[Estimated land area],MATCH(ThousandParagonIslandSize[[#This Row],[Two sizes up]],IslandSize[Island size (e.g. 12)],0))</f>
        <v>274</v>
      </c>
      <c r="AH18" s="158">
        <f>ThousandParagonIslandSize[[#This Row],[Land required]]/ThousandParagonIslandSize[[#This Row],[Estimated Land Area on two sizes up]]</f>
        <v>0.55474452554744524</v>
      </c>
      <c r="AJ18" s="150" t="s">
        <v>609</v>
      </c>
      <c r="AK18" s="150"/>
      <c r="AL18" s="150"/>
      <c r="AM18" s="118"/>
    </row>
    <row r="19" spans="2:39" ht="28.5" x14ac:dyDescent="0.45">
      <c r="B19" s="138">
        <f t="shared" si="5"/>
        <v>28</v>
      </c>
      <c r="C19" s="141">
        <f t="shared" si="0"/>
        <v>602</v>
      </c>
      <c r="D19" s="141">
        <f t="shared" si="1"/>
        <v>162</v>
      </c>
      <c r="E19" s="141">
        <f t="shared" si="2"/>
        <v>61</v>
      </c>
      <c r="F19" s="141">
        <f>F18+32</f>
        <v>160</v>
      </c>
      <c r="H19" s="135">
        <f t="shared" si="6"/>
        <v>14</v>
      </c>
      <c r="I19" s="67">
        <f t="shared" si="7"/>
        <v>1023</v>
      </c>
      <c r="J19" s="67">
        <f t="shared" si="8"/>
        <v>10</v>
      </c>
      <c r="K19" s="67">
        <f t="shared" si="4"/>
        <v>1024</v>
      </c>
      <c r="L19" s="67" t="str">
        <f>IFERROR(INDEX(IslandSize[Island size (e.g. 12)],MATCH(K19,IslandSize[Favor on conquest and handover],0)),"-")</f>
        <v>-</v>
      </c>
      <c r="N19" s="120">
        <v>9</v>
      </c>
      <c r="O19" s="145" t="s">
        <v>167</v>
      </c>
      <c r="P19" s="118"/>
      <c r="Q19" s="118"/>
      <c r="R19" s="118"/>
      <c r="S19" s="118" t="s">
        <v>628</v>
      </c>
      <c r="T19" s="147" t="s">
        <v>622</v>
      </c>
      <c r="U19" s="119"/>
      <c r="V19" s="118" t="s">
        <v>798</v>
      </c>
      <c r="X19" s="151" t="s">
        <v>332</v>
      </c>
      <c r="Y19" s="140">
        <f>SUM(SUMIFS(IslandModel_1000P[Input 1 Needed],IslandModel_1000P[Input 1],"Land tile",'1000Paragons'!$AC$21:$AC$147,IslandSize!$X19),
SUMIFS(IslandModel_1000P[Input 1 Needed],IslandModel_1000P[Input 1],"Mountain tile",'1000Paragons'!$AC$21:$AC$147,IslandSize!$X19))</f>
        <v>3</v>
      </c>
      <c r="Z19" s="124" cm="1">
        <f t="array" ref="Z19">INDEX(IslandSize[Island size (e.g. 12)],COUNTIFS(IslandSize[Estimated land area],"&lt;"&amp;ThousandParagonIslandSize[[#This Row],[Land required]])+1)</f>
        <v>12</v>
      </c>
      <c r="AA19" s="124">
        <f>INDEX(IslandSize[Estimated land area],MATCH(ThousandParagonIslandSize[[#This Row],[Minimum Island Size]],IslandSize[Island size (e.g. 12)],0))</f>
        <v>74</v>
      </c>
      <c r="AB19" s="158">
        <f>ThousandParagonIslandSize[[#This Row],[Land required]]/ThousandParagonIslandSize[[#This Row],[Estimated Land Area on Island]]</f>
        <v>4.0540540540540543E-2</v>
      </c>
      <c r="AC19" s="124">
        <f>ThousandParagonIslandSize[[#This Row],[Minimum Island Size]]+2</f>
        <v>14</v>
      </c>
      <c r="AD19" s="154">
        <f>INDEX(IslandSize[Estimated land area],MATCH(ThousandParagonIslandSize[[#This Row],[Next size up]],IslandSize[Island size (e.g. 12)],0))</f>
        <v>112</v>
      </c>
      <c r="AE19" s="158">
        <f>ThousandParagonIslandSize[[#This Row],[Land required]]/ThousandParagonIslandSize[[#This Row],[Estimated Land Area on next size up]]</f>
        <v>2.6785714285714284E-2</v>
      </c>
      <c r="AF19" s="154">
        <f>ThousandParagonIslandSize[[#This Row],[Next size up]]+2</f>
        <v>16</v>
      </c>
      <c r="AG19" s="154">
        <f>INDEX(IslandSize[Estimated land area],MATCH(ThousandParagonIslandSize[[#This Row],[Two sizes up]],IslandSize[Island size (e.g. 12)],0))</f>
        <v>158</v>
      </c>
      <c r="AH19" s="158">
        <f>ThousandParagonIslandSize[[#This Row],[Land required]]/ThousandParagonIslandSize[[#This Row],[Estimated Land Area on two sizes up]]</f>
        <v>1.8987341772151899E-2</v>
      </c>
      <c r="AJ19" s="150"/>
      <c r="AK19" s="150" t="s">
        <v>615</v>
      </c>
      <c r="AL19" s="150"/>
      <c r="AM19" s="118"/>
    </row>
    <row r="20" spans="2:39" ht="28.5" x14ac:dyDescent="0.45">
      <c r="B20" s="138">
        <f t="shared" si="5"/>
        <v>30</v>
      </c>
      <c r="C20" s="141">
        <f t="shared" si="0"/>
        <v>704</v>
      </c>
      <c r="D20" s="141">
        <f t="shared" si="1"/>
        <v>174</v>
      </c>
      <c r="E20" s="141">
        <f t="shared" si="2"/>
        <v>71</v>
      </c>
      <c r="F20" s="141">
        <f t="shared" ref="F20:F35" si="9">F19+32</f>
        <v>192</v>
      </c>
      <c r="H20" s="135">
        <f t="shared" si="6"/>
        <v>15</v>
      </c>
      <c r="I20" s="67">
        <f t="shared" si="7"/>
        <v>2047</v>
      </c>
      <c r="J20" s="67">
        <f t="shared" si="8"/>
        <v>11</v>
      </c>
      <c r="K20" s="67">
        <f t="shared" si="4"/>
        <v>2048</v>
      </c>
      <c r="L20" s="67" t="str">
        <f>IFERROR(INDEX(IslandSize[Island size (e.g. 12)],MATCH(K20,IslandSize[Favor on conquest and handover],0)),"-")</f>
        <v>-</v>
      </c>
      <c r="N20" s="120">
        <v>10</v>
      </c>
      <c r="O20" s="145" t="s">
        <v>630</v>
      </c>
      <c r="P20" s="118" t="s">
        <v>629</v>
      </c>
      <c r="Q20" s="118"/>
      <c r="R20" s="118" t="s">
        <v>61</v>
      </c>
      <c r="S20" s="118" t="s">
        <v>120</v>
      </c>
      <c r="T20" s="147" t="s">
        <v>670</v>
      </c>
      <c r="U20" s="119"/>
      <c r="V20" s="118"/>
      <c r="X20" s="152" t="s">
        <v>137</v>
      </c>
      <c r="Y20" s="140">
        <f>SUM(SUMIFS(IslandModel_1000P[Input 1 Needed],IslandModel_1000P[Input 1],"Land tile",'1000Paragons'!$AC$21:$AC$147,IslandSize!$X20),
SUMIFS(IslandModel_1000P[Input 1 Needed],IslandModel_1000P[Input 1],"Mountain tile",'1000Paragons'!$AC$21:$AC$147,IslandSize!$X20))</f>
        <v>224</v>
      </c>
      <c r="Z20" s="124" cm="1">
        <f t="array" ref="Z20">INDEX(IslandSize[Island size (e.g. 12)],COUNTIFS(IslandSize[Estimated land area],"&lt;"&amp;ThousandParagonIslandSize[[#This Row],[Land required]])+1)</f>
        <v>20</v>
      </c>
      <c r="AA20" s="124">
        <f>INDEX(IslandSize[Estimated land area],MATCH(ThousandParagonIslandSize[[#This Row],[Minimum Island Size]],IslandSize[Island size (e.g. 12)],0))</f>
        <v>274</v>
      </c>
      <c r="AB20" s="158">
        <f>ThousandParagonIslandSize[[#This Row],[Land required]]/ThousandParagonIslandSize[[#This Row],[Estimated Land Area on Island]]</f>
        <v>0.81751824817518248</v>
      </c>
      <c r="AC20" s="160">
        <f>ThousandParagonIslandSize[[#This Row],[Minimum Island Size]]+2</f>
        <v>22</v>
      </c>
      <c r="AD20" s="154">
        <f>INDEX(IslandSize[Estimated land area],MATCH(ThousandParagonIslandSize[[#This Row],[Next size up]],IslandSize[Island size (e.g. 12)],0))</f>
        <v>344</v>
      </c>
      <c r="AE20" s="158">
        <f>ThousandParagonIslandSize[[#This Row],[Land required]]/ThousandParagonIslandSize[[#This Row],[Estimated Land Area on next size up]]</f>
        <v>0.65116279069767447</v>
      </c>
      <c r="AF20" s="154">
        <f>ThousandParagonIslandSize[[#This Row],[Next size up]]+2</f>
        <v>24</v>
      </c>
      <c r="AG20" s="154">
        <f>INDEX(IslandSize[Estimated land area],MATCH(ThousandParagonIslandSize[[#This Row],[Two sizes up]],IslandSize[Island size (e.g. 12)],0))</f>
        <v>422</v>
      </c>
      <c r="AH20" s="158">
        <f>ThousandParagonIslandSize[[#This Row],[Land required]]/ThousandParagonIslandSize[[#This Row],[Estimated Land Area on two sizes up]]</f>
        <v>0.53080568720379151</v>
      </c>
      <c r="AJ20" s="150"/>
      <c r="AK20" s="150"/>
      <c r="AL20" s="150" t="s">
        <v>613</v>
      </c>
      <c r="AM20" s="118"/>
    </row>
    <row r="21" spans="2:39" ht="23.25" x14ac:dyDescent="0.45">
      <c r="B21" s="138">
        <f t="shared" si="5"/>
        <v>32</v>
      </c>
      <c r="C21" s="141">
        <f t="shared" si="0"/>
        <v>814</v>
      </c>
      <c r="D21" s="141">
        <f t="shared" si="1"/>
        <v>186</v>
      </c>
      <c r="E21" s="141">
        <f t="shared" si="2"/>
        <v>82</v>
      </c>
      <c r="F21" s="141">
        <f t="shared" si="9"/>
        <v>224</v>
      </c>
      <c r="H21" s="135">
        <f t="shared" si="6"/>
        <v>16</v>
      </c>
      <c r="I21" s="67">
        <f t="shared" si="7"/>
        <v>4095</v>
      </c>
      <c r="J21" s="67">
        <f t="shared" si="8"/>
        <v>12</v>
      </c>
      <c r="K21" s="67">
        <f t="shared" si="4"/>
        <v>4096</v>
      </c>
      <c r="L21" s="67" t="str">
        <f>IFERROR(INDEX(IslandSize[Island size (e.g. 12)],MATCH(K21,IslandSize[Favor on conquest and handover],0)),"-")</f>
        <v>-</v>
      </c>
      <c r="N21" s="120">
        <v>11</v>
      </c>
      <c r="O21" s="145" t="s">
        <v>632</v>
      </c>
      <c r="P21" s="118" t="s">
        <v>633</v>
      </c>
      <c r="Q21" s="118"/>
      <c r="R21" s="118" t="s">
        <v>631</v>
      </c>
      <c r="S21" s="118" t="s">
        <v>120</v>
      </c>
      <c r="T21" s="147">
        <v>22</v>
      </c>
      <c r="U21" s="119"/>
      <c r="V21" s="118"/>
      <c r="X21" s="152" t="s">
        <v>146</v>
      </c>
      <c r="Y21" s="140">
        <f>SUM(SUMIFS(IslandModel_1000P[Input 1 Needed],IslandModel_1000P[Input 1],"Land tile",'1000Paragons'!$AC$21:$AC$147,IslandSize!$X21),
SUMIFS(IslandModel_1000P[Input 1 Needed],IslandModel_1000P[Input 1],"Mountain tile",'1000Paragons'!$AC$21:$AC$147,IslandSize!$X21))</f>
        <v>244</v>
      </c>
      <c r="Z21" s="124" cm="1">
        <f t="array" ref="Z21">INDEX(IslandSize[Island size (e.g. 12)],COUNTIFS(IslandSize[Estimated land area],"&lt;"&amp;ThousandParagonIslandSize[[#This Row],[Land required]])+1)</f>
        <v>20</v>
      </c>
      <c r="AA21" s="124">
        <f>INDEX(IslandSize[Estimated land area],MATCH(ThousandParagonIslandSize[[#This Row],[Minimum Island Size]],IslandSize[Island size (e.g. 12)],0))</f>
        <v>274</v>
      </c>
      <c r="AB21" s="158">
        <f>ThousandParagonIslandSize[[#This Row],[Land required]]/ThousandParagonIslandSize[[#This Row],[Estimated Land Area on Island]]</f>
        <v>0.89051094890510951</v>
      </c>
      <c r="AC21" s="160">
        <f>ThousandParagonIslandSize[[#This Row],[Minimum Island Size]]+2</f>
        <v>22</v>
      </c>
      <c r="AD21" s="154">
        <f>INDEX(IslandSize[Estimated land area],MATCH(ThousandParagonIslandSize[[#This Row],[Next size up]],IslandSize[Island size (e.g. 12)],0))</f>
        <v>344</v>
      </c>
      <c r="AE21" s="158">
        <f>ThousandParagonIslandSize[[#This Row],[Land required]]/ThousandParagonIslandSize[[#This Row],[Estimated Land Area on next size up]]</f>
        <v>0.70930232558139539</v>
      </c>
      <c r="AF21" s="154">
        <f>ThousandParagonIslandSize[[#This Row],[Next size up]]+2</f>
        <v>24</v>
      </c>
      <c r="AG21" s="154">
        <f>INDEX(IslandSize[Estimated land area],MATCH(ThousandParagonIslandSize[[#This Row],[Two sizes up]],IslandSize[Island size (e.g. 12)],0))</f>
        <v>422</v>
      </c>
      <c r="AH21" s="158">
        <f>ThousandParagonIslandSize[[#This Row],[Land required]]/ThousandParagonIslandSize[[#This Row],[Estimated Land Area on two sizes up]]</f>
        <v>0.5781990521327014</v>
      </c>
      <c r="AJ21" s="150" t="s">
        <v>610</v>
      </c>
      <c r="AK21" s="150"/>
      <c r="AL21" s="150"/>
      <c r="AM21" s="118"/>
    </row>
    <row r="22" spans="2:39" ht="23.25" x14ac:dyDescent="0.45">
      <c r="B22" s="138">
        <f t="shared" si="5"/>
        <v>34</v>
      </c>
      <c r="C22" s="141">
        <f t="shared" si="0"/>
        <v>932</v>
      </c>
      <c r="D22" s="141">
        <f t="shared" si="1"/>
        <v>198</v>
      </c>
      <c r="E22" s="141">
        <f t="shared" si="2"/>
        <v>94</v>
      </c>
      <c r="F22" s="141">
        <f t="shared" si="9"/>
        <v>256</v>
      </c>
      <c r="H22" s="135">
        <f t="shared" si="6"/>
        <v>17</v>
      </c>
      <c r="I22" s="67">
        <f t="shared" si="7"/>
        <v>8191</v>
      </c>
      <c r="J22" s="67">
        <f t="shared" si="8"/>
        <v>13</v>
      </c>
      <c r="K22" s="67">
        <f t="shared" si="4"/>
        <v>8192</v>
      </c>
      <c r="L22" s="67" t="str">
        <f>IFERROR(INDEX(IslandSize[Island size (e.g. 12)],MATCH(K22,IslandSize[Favor on conquest and handover],0)),"-")</f>
        <v>-</v>
      </c>
      <c r="N22" s="120">
        <v>12</v>
      </c>
      <c r="O22" s="145" t="s">
        <v>671</v>
      </c>
      <c r="P22" s="118" t="s">
        <v>634</v>
      </c>
      <c r="Q22" s="118"/>
      <c r="R22" s="118" t="s">
        <v>510</v>
      </c>
      <c r="S22" s="118"/>
      <c r="T22" s="147" t="s">
        <v>625</v>
      </c>
      <c r="U22" s="119"/>
      <c r="V22" s="118"/>
      <c r="X22" s="152" t="s">
        <v>167</v>
      </c>
      <c r="Y22" s="140">
        <f>SUM(SUMIFS(IslandModel_1000P[Input 1 Needed],IslandModel_1000P[Input 1],"Land tile",'1000Paragons'!$AC$21:$AC$147,IslandSize!$X22),
SUMIFS(IslandModel_1000P[Input 1 Needed],IslandModel_1000P[Input 1],"Mountain tile",'1000Paragons'!$AC$21:$AC$147,IslandSize!$X22))</f>
        <v>231</v>
      </c>
      <c r="Z22" s="124" cm="1">
        <f t="array" ref="Z22">INDEX(IslandSize[Island size (e.g. 12)],COUNTIFS(IslandSize[Estimated land area],"&lt;"&amp;ThousandParagonIslandSize[[#This Row],[Land required]])+1)</f>
        <v>20</v>
      </c>
      <c r="AA22" s="124">
        <f>INDEX(IslandSize[Estimated land area],MATCH(ThousandParagonIslandSize[[#This Row],[Minimum Island Size]],IslandSize[Island size (e.g. 12)],0))</f>
        <v>274</v>
      </c>
      <c r="AB22" s="158">
        <f>ThousandParagonIslandSize[[#This Row],[Land required]]/ThousandParagonIslandSize[[#This Row],[Estimated Land Area on Island]]</f>
        <v>0.84306569343065696</v>
      </c>
      <c r="AC22" s="124">
        <f>ThousandParagonIslandSize[[#This Row],[Minimum Island Size]]+2</f>
        <v>22</v>
      </c>
      <c r="AD22" s="154">
        <f>INDEX(IslandSize[Estimated land area],MATCH(ThousandParagonIslandSize[[#This Row],[Next size up]],IslandSize[Island size (e.g. 12)],0))</f>
        <v>344</v>
      </c>
      <c r="AE22" s="158">
        <f>ThousandParagonIslandSize[[#This Row],[Land required]]/ThousandParagonIslandSize[[#This Row],[Estimated Land Area on next size up]]</f>
        <v>0.67151162790697672</v>
      </c>
      <c r="AF22" s="160">
        <f>ThousandParagonIslandSize[[#This Row],[Next size up]]+2</f>
        <v>24</v>
      </c>
      <c r="AG22" s="154">
        <f>INDEX(IslandSize[Estimated land area],MATCH(ThousandParagonIslandSize[[#This Row],[Two sizes up]],IslandSize[Island size (e.g. 12)],0))</f>
        <v>422</v>
      </c>
      <c r="AH22" s="158">
        <f>ThousandParagonIslandSize[[#This Row],[Land required]]/ThousandParagonIslandSize[[#This Row],[Estimated Land Area on two sizes up]]</f>
        <v>0.54739336492891</v>
      </c>
      <c r="AJ22" s="150" t="s">
        <v>612</v>
      </c>
      <c r="AK22" s="150"/>
      <c r="AL22" s="150"/>
      <c r="AM22" s="118"/>
    </row>
    <row r="23" spans="2:39" ht="23.25" x14ac:dyDescent="0.45">
      <c r="B23" s="138">
        <f t="shared" si="5"/>
        <v>36</v>
      </c>
      <c r="C23" s="141">
        <f t="shared" si="0"/>
        <v>1058</v>
      </c>
      <c r="D23" s="141">
        <f t="shared" si="1"/>
        <v>210</v>
      </c>
      <c r="E23" s="141">
        <f t="shared" si="2"/>
        <v>106</v>
      </c>
      <c r="F23" s="141">
        <f t="shared" si="9"/>
        <v>288</v>
      </c>
      <c r="H23" s="135">
        <f t="shared" si="6"/>
        <v>18</v>
      </c>
      <c r="I23" s="67">
        <f t="shared" si="7"/>
        <v>16383</v>
      </c>
      <c r="J23" s="67">
        <f t="shared" si="8"/>
        <v>14</v>
      </c>
      <c r="K23" s="67">
        <f t="shared" si="4"/>
        <v>16384</v>
      </c>
      <c r="L23" s="67" t="str">
        <f>IFERROR(INDEX(IslandSize[Island size (e.g. 12)],MATCH(K23,IslandSize[Favor on conquest and handover],0)),"-")</f>
        <v>-</v>
      </c>
      <c r="N23" s="120">
        <v>13</v>
      </c>
      <c r="O23" s="145" t="s">
        <v>669</v>
      </c>
      <c r="P23" s="118" t="s">
        <v>380</v>
      </c>
      <c r="Q23" s="118"/>
      <c r="R23" s="118" t="s">
        <v>514</v>
      </c>
      <c r="S23" s="118" t="s">
        <v>120</v>
      </c>
      <c r="T23" s="147" t="s">
        <v>625</v>
      </c>
      <c r="U23" s="119"/>
      <c r="V23" s="118"/>
      <c r="X23" s="152" t="s">
        <v>173</v>
      </c>
      <c r="Y23" s="140">
        <f>SUM(SUMIFS(IslandModel_1000P[Input 1 Needed],IslandModel_1000P[Input 1],"Land tile",'1000Paragons'!$AC$21:$AC$147,IslandSize!$X23),
SUMIFS(IslandModel_1000P[Input 1 Needed],IslandModel_1000P[Input 1],"Mountain tile",'1000Paragons'!$AC$21:$AC$147,IslandSize!$X23))</f>
        <v>11</v>
      </c>
      <c r="Z23" s="160" cm="1">
        <f t="array" ref="Z23">INDEX(IslandSize[Island size (e.g. 12)],COUNTIFS(IslandSize[Estimated land area],"&lt;"&amp;ThousandParagonIslandSize[[#This Row],[Land required]])+1)</f>
        <v>12</v>
      </c>
      <c r="AA23" s="124">
        <f>INDEX(IslandSize[Estimated land area],MATCH(ThousandParagonIslandSize[[#This Row],[Minimum Island Size]],IslandSize[Island size (e.g. 12)],0))</f>
        <v>74</v>
      </c>
      <c r="AB23" s="158">
        <f>ThousandParagonIslandSize[[#This Row],[Land required]]/ThousandParagonIslandSize[[#This Row],[Estimated Land Area on Island]]</f>
        <v>0.14864864864864866</v>
      </c>
      <c r="AC23" s="124">
        <f>ThousandParagonIslandSize[[#This Row],[Minimum Island Size]]+2</f>
        <v>14</v>
      </c>
      <c r="AD23" s="154">
        <f>INDEX(IslandSize[Estimated land area],MATCH(ThousandParagonIslandSize[[#This Row],[Next size up]],IslandSize[Island size (e.g. 12)],0))</f>
        <v>112</v>
      </c>
      <c r="AE23" s="158">
        <f>ThousandParagonIslandSize[[#This Row],[Land required]]/ThousandParagonIslandSize[[#This Row],[Estimated Land Area on next size up]]</f>
        <v>9.8214285714285712E-2</v>
      </c>
      <c r="AF23" s="154">
        <f>ThousandParagonIslandSize[[#This Row],[Next size up]]+2</f>
        <v>16</v>
      </c>
      <c r="AG23" s="154">
        <f>INDEX(IslandSize[Estimated land area],MATCH(ThousandParagonIslandSize[[#This Row],[Two sizes up]],IslandSize[Island size (e.g. 12)],0))</f>
        <v>158</v>
      </c>
      <c r="AH23" s="158">
        <f>ThousandParagonIslandSize[[#This Row],[Land required]]/ThousandParagonIslandSize[[#This Row],[Estimated Land Area on two sizes up]]</f>
        <v>6.9620253164556958E-2</v>
      </c>
      <c r="AJ23" s="150"/>
      <c r="AK23" s="150"/>
      <c r="AL23" s="150" t="s">
        <v>614</v>
      </c>
      <c r="AM23" s="118"/>
    </row>
    <row r="24" spans="2:39" ht="42.75" x14ac:dyDescent="0.45">
      <c r="B24" s="138">
        <f t="shared" si="5"/>
        <v>38</v>
      </c>
      <c r="C24" s="141">
        <f t="shared" si="0"/>
        <v>1192</v>
      </c>
      <c r="D24" s="141">
        <f t="shared" si="1"/>
        <v>222</v>
      </c>
      <c r="E24" s="141">
        <f t="shared" si="2"/>
        <v>120</v>
      </c>
      <c r="F24" s="141">
        <f t="shared" si="9"/>
        <v>320</v>
      </c>
      <c r="H24" s="135">
        <f t="shared" si="6"/>
        <v>19</v>
      </c>
      <c r="I24" s="67">
        <f t="shared" ref="I24:I38" si="10">2^(J23+1)-1</f>
        <v>32767</v>
      </c>
      <c r="J24" s="67">
        <f t="shared" ref="J24:J38" si="11">LOG(I24+1,2)</f>
        <v>15</v>
      </c>
      <c r="K24" s="67">
        <f t="shared" ref="K24:K38" si="12">IFERROR(MAX(0,I25-I24),0)</f>
        <v>32768</v>
      </c>
      <c r="L24" s="67" t="str">
        <f>IFERROR(INDEX(IslandSize[Island size (e.g. 12)],MATCH(K24,IslandSize[Favor on conquest and handover],0)),"-")</f>
        <v>-</v>
      </c>
      <c r="N24" s="120">
        <v>14</v>
      </c>
      <c r="O24" s="145" t="s">
        <v>641</v>
      </c>
      <c r="P24" s="118"/>
      <c r="Q24" s="118"/>
      <c r="R24" s="118"/>
      <c r="S24" s="118" t="s">
        <v>635</v>
      </c>
      <c r="T24" s="147" t="s">
        <v>636</v>
      </c>
      <c r="U24" s="119"/>
      <c r="V24" s="118"/>
      <c r="X24" s="152" t="s">
        <v>152</v>
      </c>
      <c r="Y24" s="140">
        <f>SUM(SUMIFS(IslandModel_1000P[Input 1 Needed],IslandModel_1000P[Input 1],"Land tile",'1000Paragons'!$AC$21:$AC$147,IslandSize!$X24),
SUMIFS(IslandModel_1000P[Input 1 Needed],IslandModel_1000P[Input 1],"Mountain tile",'1000Paragons'!$AC$21:$AC$147,IslandSize!$X24))</f>
        <v>120</v>
      </c>
      <c r="Z24" s="124" cm="1">
        <f t="array" ref="Z24">INDEX(IslandSize[Island size (e.g. 12)],COUNTIFS(IslandSize[Estimated land area],"&lt;"&amp;ThousandParagonIslandSize[[#This Row],[Land required]])+1)</f>
        <v>16</v>
      </c>
      <c r="AA24" s="124">
        <f>INDEX(IslandSize[Estimated land area],MATCH(ThousandParagonIslandSize[[#This Row],[Minimum Island Size]],IslandSize[Island size (e.g. 12)],0))</f>
        <v>158</v>
      </c>
      <c r="AB24" s="158">
        <f>ThousandParagonIslandSize[[#This Row],[Land required]]/ThousandParagonIslandSize[[#This Row],[Estimated Land Area on Island]]</f>
        <v>0.759493670886076</v>
      </c>
      <c r="AC24" s="160">
        <f>ThousandParagonIslandSize[[#This Row],[Minimum Island Size]]+2</f>
        <v>18</v>
      </c>
      <c r="AD24" s="154">
        <f>INDEX(IslandSize[Estimated land area],MATCH(ThousandParagonIslandSize[[#This Row],[Next size up]],IslandSize[Island size (e.g. 12)],0))</f>
        <v>212</v>
      </c>
      <c r="AE24" s="158">
        <f>ThousandParagonIslandSize[[#This Row],[Land required]]/ThousandParagonIslandSize[[#This Row],[Estimated Land Area on next size up]]</f>
        <v>0.56603773584905659</v>
      </c>
      <c r="AF24" s="154">
        <f>ThousandParagonIslandSize[[#This Row],[Next size up]]+2</f>
        <v>20</v>
      </c>
      <c r="AG24" s="154">
        <f>INDEX(IslandSize[Estimated land area],MATCH(ThousandParagonIslandSize[[#This Row],[Two sizes up]],IslandSize[Island size (e.g. 12)],0))</f>
        <v>274</v>
      </c>
      <c r="AH24" s="158">
        <f>ThousandParagonIslandSize[[#This Row],[Land required]]/ThousandParagonIslandSize[[#This Row],[Estimated Land Area on two sizes up]]</f>
        <v>0.43795620437956206</v>
      </c>
      <c r="AJ24" s="150"/>
      <c r="AK24" s="150" t="s">
        <v>662</v>
      </c>
      <c r="AL24" s="150"/>
      <c r="AM24" s="118"/>
    </row>
    <row r="25" spans="2:39" ht="28.5" x14ac:dyDescent="0.45">
      <c r="B25" s="139">
        <f t="shared" ref="B25:B35" si="13">B24+2</f>
        <v>40</v>
      </c>
      <c r="C25" s="141">
        <f t="shared" si="0"/>
        <v>1334</v>
      </c>
      <c r="D25" s="141">
        <f t="shared" ref="D25:D26" si="14">ROUNDUP((((B25-1)*4*25%)*2)+((B25-1)*4),0)</f>
        <v>234</v>
      </c>
      <c r="E25" s="141">
        <f t="shared" ref="E25:E26" si="15">ROUNDUP(C25*10%,0)</f>
        <v>134</v>
      </c>
      <c r="F25" s="141">
        <f t="shared" si="9"/>
        <v>352</v>
      </c>
      <c r="H25" s="135">
        <f t="shared" si="6"/>
        <v>20</v>
      </c>
      <c r="I25" s="67">
        <f t="shared" si="10"/>
        <v>65535</v>
      </c>
      <c r="J25" s="67">
        <f t="shared" si="11"/>
        <v>16</v>
      </c>
      <c r="K25" s="67">
        <f t="shared" si="12"/>
        <v>65536</v>
      </c>
      <c r="L25" s="67" t="str">
        <f>IFERROR(INDEX(IslandSize[Island size (e.g. 12)],MATCH(K25,IslandSize[Favor on conquest and handover],0)),"-")</f>
        <v>-</v>
      </c>
      <c r="N25" s="120">
        <v>15</v>
      </c>
      <c r="O25" s="145" t="s">
        <v>637</v>
      </c>
      <c r="P25" s="118"/>
      <c r="Q25" s="118" t="s">
        <v>623</v>
      </c>
      <c r="R25" s="118" t="s">
        <v>639</v>
      </c>
      <c r="S25" s="118" t="s">
        <v>120</v>
      </c>
      <c r="T25" s="147" t="s">
        <v>625</v>
      </c>
      <c r="U25" s="119"/>
      <c r="V25" s="118" t="s">
        <v>791</v>
      </c>
      <c r="X25" s="151" t="s">
        <v>337</v>
      </c>
      <c r="Y25" s="140">
        <f>SUM(SUMIFS(IslandModel_1000P[Input 1 Needed],IslandModel_1000P[Input 1],"Land tile",'1000Paragons'!$AC$21:$AC$147,IslandSize!$X25),
SUMIFS(IslandModel_1000P[Input 1 Needed],IslandModel_1000P[Input 1],"Mountain tile",'1000Paragons'!$AC$21:$AC$147,IslandSize!$X25))</f>
        <v>2</v>
      </c>
      <c r="Z25" s="124" cm="1">
        <f t="array" ref="Z25">INDEX(IslandSize[Island size (e.g. 12)],COUNTIFS(IslandSize[Estimated land area],"&lt;"&amp;ThousandParagonIslandSize[[#This Row],[Land required]])+1)</f>
        <v>12</v>
      </c>
      <c r="AA25" s="124">
        <f>INDEX(IslandSize[Estimated land area],MATCH(ThousandParagonIslandSize[[#This Row],[Minimum Island Size]],IslandSize[Island size (e.g. 12)],0))</f>
        <v>74</v>
      </c>
      <c r="AB25" s="158">
        <f>ThousandParagonIslandSize[[#This Row],[Land required]]/ThousandParagonIslandSize[[#This Row],[Estimated Land Area on Island]]</f>
        <v>2.7027027027027029E-2</v>
      </c>
      <c r="AC25" s="124">
        <f>ThousandParagonIslandSize[[#This Row],[Minimum Island Size]]+2</f>
        <v>14</v>
      </c>
      <c r="AD25" s="154">
        <f>INDEX(IslandSize[Estimated land area],MATCH(ThousandParagonIslandSize[[#This Row],[Next size up]],IslandSize[Island size (e.g. 12)],0))</f>
        <v>112</v>
      </c>
      <c r="AE25" s="158">
        <f>ThousandParagonIslandSize[[#This Row],[Land required]]/ThousandParagonIslandSize[[#This Row],[Estimated Land Area on next size up]]</f>
        <v>1.7857142857142856E-2</v>
      </c>
      <c r="AF25" s="154">
        <f>ThousandParagonIslandSize[[#This Row],[Next size up]]+2</f>
        <v>16</v>
      </c>
      <c r="AG25" s="154">
        <f>INDEX(IslandSize[Estimated land area],MATCH(ThousandParagonIslandSize[[#This Row],[Two sizes up]],IslandSize[Island size (e.g. 12)],0))</f>
        <v>158</v>
      </c>
      <c r="AH25" s="158">
        <f>ThousandParagonIslandSize[[#This Row],[Land required]]/ThousandParagonIslandSize[[#This Row],[Estimated Land Area on two sizes up]]</f>
        <v>1.2658227848101266E-2</v>
      </c>
      <c r="AJ25" s="150" t="s">
        <v>590</v>
      </c>
      <c r="AK25" s="150"/>
      <c r="AL25" s="150"/>
      <c r="AM25" s="118"/>
    </row>
    <row r="26" spans="2:39" ht="28.5" x14ac:dyDescent="0.45">
      <c r="B26" s="138">
        <f t="shared" si="5"/>
        <v>42</v>
      </c>
      <c r="C26" s="141">
        <f t="shared" ref="C26:C27" si="16">ROUNDUP(((B26-2)^2)-(4*(B26-3)*50%)-(4*(B26-4)*25%),0)</f>
        <v>1484</v>
      </c>
      <c r="D26" s="141">
        <f t="shared" si="14"/>
        <v>246</v>
      </c>
      <c r="E26" s="141">
        <f t="shared" si="15"/>
        <v>149</v>
      </c>
      <c r="F26" s="141">
        <f t="shared" si="9"/>
        <v>384</v>
      </c>
      <c r="H26" s="135">
        <f t="shared" si="6"/>
        <v>21</v>
      </c>
      <c r="I26" s="67">
        <f t="shared" si="10"/>
        <v>131071</v>
      </c>
      <c r="J26" s="67">
        <f t="shared" si="11"/>
        <v>17</v>
      </c>
      <c r="K26" s="67">
        <f t="shared" si="12"/>
        <v>131072</v>
      </c>
      <c r="L26" s="67" t="str">
        <f>IFERROR(INDEX(IslandSize[Island size (e.g. 12)],MATCH(K26,IslandSize[Favor on conquest and handover],0)),"-")</f>
        <v>-</v>
      </c>
      <c r="N26" s="120">
        <v>16</v>
      </c>
      <c r="O26" s="145" t="s">
        <v>638</v>
      </c>
      <c r="P26" s="118"/>
      <c r="Q26" s="118"/>
      <c r="R26" s="118"/>
      <c r="S26" s="118"/>
      <c r="T26" s="147"/>
      <c r="U26" s="119"/>
      <c r="V26" s="118"/>
      <c r="X26" s="152" t="s">
        <v>372</v>
      </c>
      <c r="Y26" s="140">
        <f>SUM(SUMIFS(IslandModel_1000P[Input 1 Needed],IslandModel_1000P[Input 1],"Land tile",'1000Paragons'!$AC$21:$AC$147,IslandSize!$X26),
SUMIFS(IslandModel_1000P[Input 1 Needed],IslandModel_1000P[Input 1],"Mountain tile",'1000Paragons'!$AC$21:$AC$147,IslandSize!$X26))</f>
        <v>249</v>
      </c>
      <c r="Z26" s="124" cm="1">
        <f t="array" ref="Z26">INDEX(IslandSize[Island size (e.g. 12)],COUNTIFS(IslandSize[Estimated land area],"&lt;"&amp;ThousandParagonIslandSize[[#This Row],[Land required]])+1)</f>
        <v>20</v>
      </c>
      <c r="AA26" s="124">
        <f>INDEX(IslandSize[Estimated land area],MATCH(ThousandParagonIslandSize[[#This Row],[Minimum Island Size]],IslandSize[Island size (e.g. 12)],0))</f>
        <v>274</v>
      </c>
      <c r="AB26" s="158">
        <f>ThousandParagonIslandSize[[#This Row],[Land required]]/ThousandParagonIslandSize[[#This Row],[Estimated Land Area on Island]]</f>
        <v>0.90875912408759119</v>
      </c>
      <c r="AC26" s="160">
        <f>ThousandParagonIslandSize[[#This Row],[Minimum Island Size]]+2</f>
        <v>22</v>
      </c>
      <c r="AD26" s="154">
        <f>INDEX(IslandSize[Estimated land area],MATCH(ThousandParagonIslandSize[[#This Row],[Next size up]],IslandSize[Island size (e.g. 12)],0))</f>
        <v>344</v>
      </c>
      <c r="AE26" s="158">
        <f>ThousandParagonIslandSize[[#This Row],[Land required]]/ThousandParagonIslandSize[[#This Row],[Estimated Land Area on next size up]]</f>
        <v>0.72383720930232553</v>
      </c>
      <c r="AF26" s="154">
        <f>ThousandParagonIslandSize[[#This Row],[Next size up]]+2</f>
        <v>24</v>
      </c>
      <c r="AG26" s="154">
        <f>INDEX(IslandSize[Estimated land area],MATCH(ThousandParagonIslandSize[[#This Row],[Two sizes up]],IslandSize[Island size (e.g. 12)],0))</f>
        <v>422</v>
      </c>
      <c r="AH26" s="158">
        <f>ThousandParagonIslandSize[[#This Row],[Land required]]/ThousandParagonIslandSize[[#This Row],[Estimated Land Area on two sizes up]]</f>
        <v>0.59004739336492895</v>
      </c>
      <c r="AJ26" s="150"/>
      <c r="AK26" s="150" t="s">
        <v>617</v>
      </c>
      <c r="AL26" s="150"/>
      <c r="AM26" s="118"/>
    </row>
    <row r="27" spans="2:39" ht="28.5" x14ac:dyDescent="0.45">
      <c r="B27" s="139">
        <f t="shared" si="13"/>
        <v>44</v>
      </c>
      <c r="C27" s="141">
        <f t="shared" si="16"/>
        <v>1642</v>
      </c>
      <c r="D27" s="141">
        <f t="shared" ref="D27" si="17">ROUNDUP((((B27-1)*4*25%)*2)+((B27-1)*4),0)</f>
        <v>258</v>
      </c>
      <c r="E27" s="141">
        <f t="shared" ref="E27" si="18">ROUNDUP(C27*10%,0)</f>
        <v>165</v>
      </c>
      <c r="F27" s="141">
        <f t="shared" si="9"/>
        <v>416</v>
      </c>
      <c r="H27" s="135">
        <f t="shared" si="6"/>
        <v>22</v>
      </c>
      <c r="I27" s="67">
        <f t="shared" si="10"/>
        <v>262143</v>
      </c>
      <c r="J27" s="67">
        <f t="shared" si="11"/>
        <v>18</v>
      </c>
      <c r="K27" s="67">
        <f t="shared" si="12"/>
        <v>262144</v>
      </c>
      <c r="L27" s="67" t="str">
        <f>IFERROR(INDEX(IslandSize[Island size (e.g. 12)],MATCH(K27,IslandSize[Favor on conquest and handover],0)),"-")</f>
        <v>-</v>
      </c>
      <c r="X27" s="152" t="s">
        <v>374</v>
      </c>
      <c r="Y27" s="140">
        <f>SUM(SUMIFS(IslandModel_1000P[Input 1 Needed],IslandModel_1000P[Input 1],"Land tile",'1000Paragons'!$AC$21:$AC$147,IslandSize!$X27),
SUMIFS(IslandModel_1000P[Input 1 Needed],IslandModel_1000P[Input 1],"Mountain tile",'1000Paragons'!$AC$21:$AC$147,IslandSize!$X27))</f>
        <v>29</v>
      </c>
      <c r="Z27" s="160" cm="1">
        <f t="array" ref="Z27">INDEX(IslandSize[Island size (e.g. 12)],COUNTIFS(IslandSize[Estimated land area],"&lt;"&amp;ThousandParagonIslandSize[[#This Row],[Land required]])+1)</f>
        <v>12</v>
      </c>
      <c r="AA27" s="124">
        <f>INDEX(IslandSize[Estimated land area],MATCH(ThousandParagonIslandSize[[#This Row],[Minimum Island Size]],IslandSize[Island size (e.g. 12)],0))</f>
        <v>74</v>
      </c>
      <c r="AB27" s="158">
        <f>ThousandParagonIslandSize[[#This Row],[Land required]]/ThousandParagonIslandSize[[#This Row],[Estimated Land Area on Island]]</f>
        <v>0.39189189189189189</v>
      </c>
      <c r="AC27" s="124">
        <f>ThousandParagonIslandSize[[#This Row],[Minimum Island Size]]+2</f>
        <v>14</v>
      </c>
      <c r="AD27" s="154">
        <f>INDEX(IslandSize[Estimated land area],MATCH(ThousandParagonIslandSize[[#This Row],[Next size up]],IslandSize[Island size (e.g. 12)],0))</f>
        <v>112</v>
      </c>
      <c r="AE27" s="158">
        <f>ThousandParagonIslandSize[[#This Row],[Land required]]/ThousandParagonIslandSize[[#This Row],[Estimated Land Area on next size up]]</f>
        <v>0.25892857142857145</v>
      </c>
      <c r="AF27" s="154">
        <f>ThousandParagonIslandSize[[#This Row],[Next size up]]+2</f>
        <v>16</v>
      </c>
      <c r="AG27" s="154">
        <f>INDEX(IslandSize[Estimated land area],MATCH(ThousandParagonIslandSize[[#This Row],[Two sizes up]],IslandSize[Island size (e.g. 12)],0))</f>
        <v>158</v>
      </c>
      <c r="AH27" s="158">
        <f>ThousandParagonIslandSize[[#This Row],[Land required]]/ThousandParagonIslandSize[[#This Row],[Estimated Land Area on two sizes up]]</f>
        <v>0.18354430379746836</v>
      </c>
      <c r="AJ27" s="150"/>
      <c r="AK27" s="150" t="s">
        <v>618</v>
      </c>
      <c r="AL27" s="150"/>
      <c r="AM27" s="118"/>
    </row>
    <row r="28" spans="2:39" ht="23.25" x14ac:dyDescent="0.45">
      <c r="B28" s="139">
        <f t="shared" si="13"/>
        <v>46</v>
      </c>
      <c r="C28" s="141">
        <f t="shared" ref="C28:C35" si="19">ROUNDUP(((B28-2)^2)-(4*(B28-3)*50%)-(4*(B28-4)*25%),0)</f>
        <v>1808</v>
      </c>
      <c r="D28" s="141">
        <f t="shared" ref="D28:D35" si="20">ROUNDUP((((B28-1)*4*25%)*2)+((B28-1)*4),0)</f>
        <v>270</v>
      </c>
      <c r="E28" s="141">
        <f t="shared" ref="E28:E35" si="21">ROUNDUP(C28*10%,0)</f>
        <v>181</v>
      </c>
      <c r="F28" s="141">
        <f t="shared" si="9"/>
        <v>448</v>
      </c>
      <c r="H28" s="135">
        <f t="shared" si="6"/>
        <v>23</v>
      </c>
      <c r="I28" s="67">
        <f t="shared" si="10"/>
        <v>524287</v>
      </c>
      <c r="J28" s="67">
        <f t="shared" si="11"/>
        <v>19</v>
      </c>
      <c r="K28" s="67">
        <f t="shared" si="12"/>
        <v>524288</v>
      </c>
      <c r="L28" s="67" t="str">
        <f>IFERROR(INDEX(IslandSize[Island size (e.g. 12)],MATCH(K28,IslandSize[Favor on conquest and handover],0)),"-")</f>
        <v>-</v>
      </c>
      <c r="X28" s="152" t="s">
        <v>660</v>
      </c>
      <c r="Y28" s="140">
        <f>SUM(SUMIFS(IslandModel_1000P[Input 1 Needed],IslandModel_1000P[Input 1],"Land tile",'1000Paragons'!$AC$21:$AC$147,IslandSize!$X28),
SUMIFS(IslandModel_1000P[Input 1 Needed],IslandModel_1000P[Input 1],"Mountain tile",'1000Paragons'!$AC$21:$AC$147,IslandSize!$X28))</f>
        <v>193</v>
      </c>
      <c r="Z28" s="124" cm="1">
        <f t="array" ref="Z28">INDEX(IslandSize[Island size (e.g. 12)],COUNTIFS(IslandSize[Estimated land area],"&lt;"&amp;ThousandParagonIslandSize[[#This Row],[Land required]])+1)</f>
        <v>18</v>
      </c>
      <c r="AA28" s="124">
        <f>INDEX(IslandSize[Estimated land area],MATCH(ThousandParagonIslandSize[[#This Row],[Minimum Island Size]],IslandSize[Island size (e.g. 12)],0))</f>
        <v>212</v>
      </c>
      <c r="AB28" s="158">
        <f>ThousandParagonIslandSize[[#This Row],[Land required]]/ThousandParagonIslandSize[[#This Row],[Estimated Land Area on Island]]</f>
        <v>0.910377358490566</v>
      </c>
      <c r="AC28" s="124">
        <f>ThousandParagonIslandSize[[#This Row],[Minimum Island Size]]+2</f>
        <v>20</v>
      </c>
      <c r="AD28" s="154">
        <f>INDEX(IslandSize[Estimated land area],MATCH(ThousandParagonIslandSize[[#This Row],[Next size up]],IslandSize[Island size (e.g. 12)],0))</f>
        <v>274</v>
      </c>
      <c r="AE28" s="158">
        <f>ThousandParagonIslandSize[[#This Row],[Land required]]/ThousandParagonIslandSize[[#This Row],[Estimated Land Area on next size up]]</f>
        <v>0.70437956204379559</v>
      </c>
      <c r="AF28" s="160">
        <f>ThousandParagonIslandSize[[#This Row],[Next size up]]+2</f>
        <v>22</v>
      </c>
      <c r="AG28" s="154">
        <f>INDEX(IslandSize[Estimated land area],MATCH(ThousandParagonIslandSize[[#This Row],[Two sizes up]],IslandSize[Island size (e.g. 12)],0))</f>
        <v>344</v>
      </c>
      <c r="AH28" s="158">
        <f>ThousandParagonIslandSize[[#This Row],[Land required]]/ThousandParagonIslandSize[[#This Row],[Estimated Land Area on two sizes up]]</f>
        <v>0.56104651162790697</v>
      </c>
      <c r="AJ28" s="150" t="s">
        <v>464</v>
      </c>
      <c r="AK28" s="150"/>
      <c r="AL28" s="150"/>
      <c r="AM28" s="118"/>
    </row>
    <row r="29" spans="2:39" ht="23.25" x14ac:dyDescent="0.45">
      <c r="B29" s="139">
        <f t="shared" si="13"/>
        <v>48</v>
      </c>
      <c r="C29" s="141">
        <f t="shared" si="19"/>
        <v>1982</v>
      </c>
      <c r="D29" s="141">
        <f t="shared" si="20"/>
        <v>282</v>
      </c>
      <c r="E29" s="141">
        <f t="shared" si="21"/>
        <v>199</v>
      </c>
      <c r="F29" s="141">
        <f t="shared" si="9"/>
        <v>480</v>
      </c>
      <c r="H29" s="135">
        <f t="shared" si="6"/>
        <v>24</v>
      </c>
      <c r="I29" s="67">
        <f t="shared" si="10"/>
        <v>1048575</v>
      </c>
      <c r="J29" s="67">
        <f t="shared" si="11"/>
        <v>20</v>
      </c>
      <c r="K29" s="67">
        <f t="shared" si="12"/>
        <v>1048576</v>
      </c>
      <c r="L29" s="67" t="str">
        <f>IFERROR(INDEX(IslandSize[Island size (e.g. 12)],MATCH(K29,IslandSize[Favor on conquest and handover],0)),"-")</f>
        <v>-</v>
      </c>
      <c r="X29" s="152" t="s">
        <v>379</v>
      </c>
      <c r="Y29" s="140">
        <f>SUM(SUMIFS(IslandModel_1000P[Input 1 Needed],IslandModel_1000P[Input 1],"Land tile",'1000Paragons'!$AC$21:$AC$147,IslandSize!$X29),
SUMIFS(IslandModel_1000P[Input 1 Needed],IslandModel_1000P[Input 1],"Mountain tile",'1000Paragons'!$AC$21:$AC$147,IslandSize!$X29))</f>
        <v>169</v>
      </c>
      <c r="Z29" s="124" cm="1">
        <f t="array" ref="Z29">INDEX(IslandSize[Island size (e.g. 12)],COUNTIFS(IslandSize[Estimated land area],"&lt;"&amp;ThousandParagonIslandSize[[#This Row],[Land required]])+1)</f>
        <v>18</v>
      </c>
      <c r="AA29" s="124">
        <f>INDEX(IslandSize[Estimated land area],MATCH(ThousandParagonIslandSize[[#This Row],[Minimum Island Size]],IslandSize[Island size (e.g. 12)],0))</f>
        <v>212</v>
      </c>
      <c r="AB29" s="158">
        <f>ThousandParagonIslandSize[[#This Row],[Land required]]/ThousandParagonIslandSize[[#This Row],[Estimated Land Area on Island]]</f>
        <v>0.79716981132075471</v>
      </c>
      <c r="AC29" s="124">
        <f>ThousandParagonIslandSize[[#This Row],[Minimum Island Size]]+2</f>
        <v>20</v>
      </c>
      <c r="AD29" s="154">
        <f>INDEX(IslandSize[Estimated land area],MATCH(ThousandParagonIslandSize[[#This Row],[Next size up]],IslandSize[Island size (e.g. 12)],0))</f>
        <v>274</v>
      </c>
      <c r="AE29" s="158">
        <f>ThousandParagonIslandSize[[#This Row],[Land required]]/ThousandParagonIslandSize[[#This Row],[Estimated Land Area on next size up]]</f>
        <v>0.61678832116788318</v>
      </c>
      <c r="AF29" s="160">
        <f>ThousandParagonIslandSize[[#This Row],[Next size up]]+2</f>
        <v>22</v>
      </c>
      <c r="AG29" s="154">
        <f>INDEX(IslandSize[Estimated land area],MATCH(ThousandParagonIslandSize[[#This Row],[Two sizes up]],IslandSize[Island size (e.g. 12)],0))</f>
        <v>344</v>
      </c>
      <c r="AH29" s="158">
        <f>ThousandParagonIslandSize[[#This Row],[Land required]]/ThousandParagonIslandSize[[#This Row],[Estimated Land Area on two sizes up]]</f>
        <v>0.49127906976744184</v>
      </c>
    </row>
    <row r="30" spans="2:39" ht="23.25" x14ac:dyDescent="0.45">
      <c r="B30" s="139">
        <f t="shared" si="13"/>
        <v>50</v>
      </c>
      <c r="C30" s="141">
        <f t="shared" si="19"/>
        <v>2164</v>
      </c>
      <c r="D30" s="141">
        <f t="shared" si="20"/>
        <v>294</v>
      </c>
      <c r="E30" s="141">
        <f t="shared" si="21"/>
        <v>217</v>
      </c>
      <c r="F30" s="141">
        <f t="shared" si="9"/>
        <v>512</v>
      </c>
      <c r="H30" s="135">
        <f t="shared" si="6"/>
        <v>25</v>
      </c>
      <c r="I30" s="67">
        <f t="shared" si="10"/>
        <v>2097151</v>
      </c>
      <c r="J30" s="67">
        <f t="shared" si="11"/>
        <v>21</v>
      </c>
      <c r="K30" s="67">
        <f t="shared" si="12"/>
        <v>2097152</v>
      </c>
      <c r="L30" s="67" t="str">
        <f>IFERROR(INDEX(IslandSize[Island size (e.g. 12)],MATCH(K30,IslandSize[Favor on conquest and handover],0)),"-")</f>
        <v>-</v>
      </c>
      <c r="X30" s="152" t="s">
        <v>382</v>
      </c>
      <c r="Y30" s="140">
        <f>SUM(SUMIFS(IslandModel_1000P[Input 1 Needed],IslandModel_1000P[Input 1],"Land tile",'1000Paragons'!$AC$21:$AC$147,IslandSize!$X30),
SUMIFS(IslandModel_1000P[Input 1 Needed],IslandModel_1000P[Input 1],"Mountain tile",'1000Paragons'!$AC$21:$AC$147,IslandSize!$X30))</f>
        <v>177</v>
      </c>
      <c r="Z30" s="124" cm="1">
        <f t="array" ref="Z30">INDEX(IslandSize[Island size (e.g. 12)],COUNTIFS(IslandSize[Estimated land area],"&lt;"&amp;ThousandParagonIslandSize[[#This Row],[Land required]])+1)</f>
        <v>18</v>
      </c>
      <c r="AA30" s="124">
        <f>INDEX(IslandSize[Estimated land area],MATCH(ThousandParagonIslandSize[[#This Row],[Minimum Island Size]],IslandSize[Island size (e.g. 12)],0))</f>
        <v>212</v>
      </c>
      <c r="AB30" s="158">
        <f>ThousandParagonIslandSize[[#This Row],[Land required]]/ThousandParagonIslandSize[[#This Row],[Estimated Land Area on Island]]</f>
        <v>0.83490566037735847</v>
      </c>
      <c r="AC30" s="160">
        <f>ThousandParagonIslandSize[[#This Row],[Minimum Island Size]]+2</f>
        <v>20</v>
      </c>
      <c r="AD30" s="154">
        <f>INDEX(IslandSize[Estimated land area],MATCH(ThousandParagonIslandSize[[#This Row],[Next size up]],IslandSize[Island size (e.g. 12)],0))</f>
        <v>274</v>
      </c>
      <c r="AE30" s="158">
        <f>ThousandParagonIslandSize[[#This Row],[Land required]]/ThousandParagonIslandSize[[#This Row],[Estimated Land Area on next size up]]</f>
        <v>0.64598540145985406</v>
      </c>
      <c r="AF30" s="154">
        <f>ThousandParagonIslandSize[[#This Row],[Next size up]]+2</f>
        <v>22</v>
      </c>
      <c r="AG30" s="154">
        <f>INDEX(IslandSize[Estimated land area],MATCH(ThousandParagonIslandSize[[#This Row],[Two sizes up]],IslandSize[Island size (e.g. 12)],0))</f>
        <v>344</v>
      </c>
      <c r="AH30" s="158">
        <f>ThousandParagonIslandSize[[#This Row],[Land required]]/ThousandParagonIslandSize[[#This Row],[Estimated Land Area on two sizes up]]</f>
        <v>0.51453488372093026</v>
      </c>
      <c r="AJ30" s="161" t="s">
        <v>602</v>
      </c>
    </row>
    <row r="31" spans="2:39" ht="23.25" x14ac:dyDescent="0.45">
      <c r="B31" s="139">
        <f t="shared" si="13"/>
        <v>52</v>
      </c>
      <c r="C31" s="141">
        <f t="shared" si="19"/>
        <v>2354</v>
      </c>
      <c r="D31" s="141">
        <f t="shared" si="20"/>
        <v>306</v>
      </c>
      <c r="E31" s="141">
        <f t="shared" si="21"/>
        <v>236</v>
      </c>
      <c r="F31" s="141">
        <f t="shared" si="9"/>
        <v>544</v>
      </c>
      <c r="H31" s="135">
        <f t="shared" si="6"/>
        <v>26</v>
      </c>
      <c r="I31" s="67">
        <f t="shared" si="10"/>
        <v>4194303</v>
      </c>
      <c r="J31" s="67">
        <f t="shared" si="11"/>
        <v>22</v>
      </c>
      <c r="K31" s="67">
        <f t="shared" si="12"/>
        <v>4194304</v>
      </c>
      <c r="L31" s="67" t="str">
        <f>IFERROR(INDEX(IslandSize[Island size (e.g. 12)],MATCH(K31,IslandSize[Favor on conquest and handover],0)),"-")</f>
        <v>-</v>
      </c>
      <c r="X31" s="151" t="s">
        <v>465</v>
      </c>
      <c r="Y31" s="140">
        <f>SUM(SUMIFS(IslandModel_1000P[Input 1 Needed],IslandModel_1000P[Input 1],"Land tile",'1000Paragons'!$AC$21:$AC$147,IslandSize!$X31),
SUMIFS(IslandModel_1000P[Input 1 Needed],IslandModel_1000P[Input 1],"Mountain tile",'1000Paragons'!$AC$21:$AC$147,IslandSize!$X31))</f>
        <v>1</v>
      </c>
      <c r="Z31" s="124" cm="1">
        <f t="array" ref="Z31">INDEX(IslandSize[Island size (e.g. 12)],COUNTIFS(IslandSize[Estimated land area],"&lt;"&amp;ThousandParagonIslandSize[[#This Row],[Land required]])+1)</f>
        <v>12</v>
      </c>
      <c r="AA31" s="124">
        <f>INDEX(IslandSize[Estimated land area],MATCH(ThousandParagonIslandSize[[#This Row],[Minimum Island Size]],IslandSize[Island size (e.g. 12)],0))</f>
        <v>74</v>
      </c>
      <c r="AB31" s="158">
        <f>ThousandParagonIslandSize[[#This Row],[Land required]]/ThousandParagonIslandSize[[#This Row],[Estimated Land Area on Island]]</f>
        <v>1.3513513513513514E-2</v>
      </c>
      <c r="AC31" s="124">
        <f>ThousandParagonIslandSize[[#This Row],[Minimum Island Size]]+2</f>
        <v>14</v>
      </c>
      <c r="AD31" s="154">
        <f>INDEX(IslandSize[Estimated land area],MATCH(ThousandParagonIslandSize[[#This Row],[Next size up]],IslandSize[Island size (e.g. 12)],0))</f>
        <v>112</v>
      </c>
      <c r="AE31" s="158">
        <f>ThousandParagonIslandSize[[#This Row],[Land required]]/ThousandParagonIslandSize[[#This Row],[Estimated Land Area on next size up]]</f>
        <v>8.9285714285714281E-3</v>
      </c>
      <c r="AF31" s="154">
        <f>ThousandParagonIslandSize[[#This Row],[Next size up]]+2</f>
        <v>16</v>
      </c>
      <c r="AG31" s="154">
        <f>INDEX(IslandSize[Estimated land area],MATCH(ThousandParagonIslandSize[[#This Row],[Two sizes up]],IslandSize[Island size (e.g. 12)],0))</f>
        <v>158</v>
      </c>
      <c r="AH31" s="158">
        <f>ThousandParagonIslandSize[[#This Row],[Land required]]/ThousandParagonIslandSize[[#This Row],[Estimated Land Area on two sizes up]]</f>
        <v>6.3291139240506328E-3</v>
      </c>
      <c r="AJ31" s="149" t="s">
        <v>785</v>
      </c>
      <c r="AK31" s="150"/>
      <c r="AL31" s="149" t="s">
        <v>603</v>
      </c>
    </row>
    <row r="32" spans="2:39" ht="23.25" x14ac:dyDescent="0.45">
      <c r="B32" s="139">
        <f t="shared" si="13"/>
        <v>54</v>
      </c>
      <c r="C32" s="141">
        <f t="shared" si="19"/>
        <v>2552</v>
      </c>
      <c r="D32" s="141">
        <f t="shared" si="20"/>
        <v>318</v>
      </c>
      <c r="E32" s="141">
        <f t="shared" si="21"/>
        <v>256</v>
      </c>
      <c r="F32" s="141">
        <f t="shared" si="9"/>
        <v>576</v>
      </c>
      <c r="H32" s="135">
        <f t="shared" si="6"/>
        <v>27</v>
      </c>
      <c r="I32" s="67">
        <f t="shared" si="10"/>
        <v>8388607</v>
      </c>
      <c r="J32" s="67">
        <f t="shared" si="11"/>
        <v>23</v>
      </c>
      <c r="K32" s="67">
        <f t="shared" si="12"/>
        <v>8388608</v>
      </c>
      <c r="L32" s="67" t="str">
        <f>IFERROR(INDEX(IslandSize[Island size (e.g. 12)],MATCH(K32,IslandSize[Favor on conquest and handover],0)),"-")</f>
        <v>-</v>
      </c>
      <c r="X32" s="152" t="s">
        <v>652</v>
      </c>
      <c r="Y32" s="140">
        <f>SUM(SUMIFS(IslandModel_1000P[Input 1 Needed],IslandModel_1000P[Input 1],"Land tile",'1000Paragons'!$AC$21:$AC$147,IslandSize!$X32),
SUMIFS(IslandModel_1000P[Input 1 Needed],IslandModel_1000P[Input 1],"Mountain tile",'1000Paragons'!$AC$21:$AC$147,IslandSize!$X32))</f>
        <v>43</v>
      </c>
      <c r="Z32" s="124" cm="1">
        <f t="array" ref="Z32">INDEX(IslandSize[Island size (e.g. 12)],COUNTIFS(IslandSize[Estimated land area],"&lt;"&amp;ThousandParagonIslandSize[[#This Row],[Land required]])+1)</f>
        <v>12</v>
      </c>
      <c r="AA32" s="124">
        <f>INDEX(IslandSize[Estimated land area],MATCH(ThousandParagonIslandSize[[#This Row],[Minimum Island Size]],IslandSize[Island size (e.g. 12)],0))</f>
        <v>74</v>
      </c>
      <c r="AB32" s="158">
        <f>ThousandParagonIslandSize[[#This Row],[Land required]]/ThousandParagonIslandSize[[#This Row],[Estimated Land Area on Island]]</f>
        <v>0.58108108108108103</v>
      </c>
      <c r="AC32" s="160">
        <f>ThousandParagonIslandSize[[#This Row],[Minimum Island Size]]+2</f>
        <v>14</v>
      </c>
      <c r="AD32" s="154">
        <f>INDEX(IslandSize[Estimated land area],MATCH(ThousandParagonIslandSize[[#This Row],[Next size up]],IslandSize[Island size (e.g. 12)],0))</f>
        <v>112</v>
      </c>
      <c r="AE32" s="158">
        <f>ThousandParagonIslandSize[[#This Row],[Land required]]/ThousandParagonIslandSize[[#This Row],[Estimated Land Area on next size up]]</f>
        <v>0.38392857142857145</v>
      </c>
      <c r="AF32" s="154">
        <f>ThousandParagonIslandSize[[#This Row],[Next size up]]+2</f>
        <v>16</v>
      </c>
      <c r="AG32" s="154">
        <f>INDEX(IslandSize[Estimated land area],MATCH(ThousandParagonIslandSize[[#This Row],[Two sizes up]],IslandSize[Island size (e.g. 12)],0))</f>
        <v>158</v>
      </c>
      <c r="AH32" s="158">
        <f>ThousandParagonIslandSize[[#This Row],[Land required]]/ThousandParagonIslandSize[[#This Row],[Estimated Land Area on two sizes up]]</f>
        <v>0.27215189873417722</v>
      </c>
      <c r="AJ32" s="149" t="s">
        <v>784</v>
      </c>
      <c r="AK32" s="150"/>
      <c r="AL32" s="149" t="s">
        <v>786</v>
      </c>
    </row>
    <row r="33" spans="2:38" ht="23.25" x14ac:dyDescent="0.45">
      <c r="B33" s="139">
        <f t="shared" si="13"/>
        <v>56</v>
      </c>
      <c r="C33" s="141">
        <f t="shared" si="19"/>
        <v>2758</v>
      </c>
      <c r="D33" s="141">
        <f t="shared" si="20"/>
        <v>330</v>
      </c>
      <c r="E33" s="141">
        <f t="shared" si="21"/>
        <v>276</v>
      </c>
      <c r="F33" s="141">
        <f t="shared" si="9"/>
        <v>608</v>
      </c>
      <c r="H33" s="135">
        <f t="shared" si="6"/>
        <v>28</v>
      </c>
      <c r="I33" s="67">
        <f t="shared" si="10"/>
        <v>16777215</v>
      </c>
      <c r="J33" s="67">
        <f t="shared" si="11"/>
        <v>24</v>
      </c>
      <c r="K33" s="67">
        <f t="shared" si="12"/>
        <v>16777216</v>
      </c>
      <c r="L33" s="67" t="str">
        <f>IFERROR(INDEX(IslandSize[Island size (e.g. 12)],MATCH(K33,IslandSize[Favor on conquest and handover],0)),"-")</f>
        <v>-</v>
      </c>
      <c r="X33" s="152" t="s">
        <v>464</v>
      </c>
      <c r="Y33" s="153">
        <f>SUM(SUMIFS(IslandModel_1000P[Input 1 Needed],IslandModel_1000P[Input 1],"Land tile",'1000Paragons'!$AC$21:$AC$147,IslandSize!$X33),
SUMIFS(IslandModel_1000P[Input 1 Needed],IslandModel_1000P[Input 1],"Mountain tile",'1000Paragons'!$AC$21:$AC$147,IslandSize!$X33))</f>
        <v>42</v>
      </c>
      <c r="Z33" s="154" cm="1">
        <f t="array" ref="Z33">INDEX(IslandSize[Island size (e.g. 12)],COUNTIFS(IslandSize[Estimated land area],"&lt;"&amp;ThousandParagonIslandSize[[#This Row],[Land required]])+1)</f>
        <v>12</v>
      </c>
      <c r="AA33" s="154">
        <f>INDEX(IslandSize[Estimated land area],MATCH(ThousandParagonIslandSize[[#This Row],[Minimum Island Size]],IslandSize[Island size (e.g. 12)],0))</f>
        <v>74</v>
      </c>
      <c r="AB33" s="158">
        <f>ThousandParagonIslandSize[[#This Row],[Land required]]/ThousandParagonIslandSize[[#This Row],[Estimated Land Area on Island]]</f>
        <v>0.56756756756756754</v>
      </c>
      <c r="AC33" s="154">
        <f>ThousandParagonIslandSize[[#This Row],[Minimum Island Size]]+2</f>
        <v>14</v>
      </c>
      <c r="AD33" s="154">
        <f>INDEX(IslandSize[Estimated land area],MATCH(ThousandParagonIslandSize[[#This Row],[Next size up]],IslandSize[Island size (e.g. 12)],0))</f>
        <v>112</v>
      </c>
      <c r="AE33" s="159">
        <f>ThousandParagonIslandSize[[#This Row],[Land required]]/ThousandParagonIslandSize[[#This Row],[Estimated Land Area on next size up]]</f>
        <v>0.375</v>
      </c>
      <c r="AF33" s="154">
        <f>ThousandParagonIslandSize[[#This Row],[Next size up]]+2</f>
        <v>16</v>
      </c>
      <c r="AG33" s="154">
        <f>INDEX(IslandSize[Estimated land area],MATCH(ThousandParagonIslandSize[[#This Row],[Two sizes up]],IslandSize[Island size (e.g. 12)],0))</f>
        <v>158</v>
      </c>
      <c r="AH33" s="159">
        <f>ThousandParagonIslandSize[[#This Row],[Land required]]/ThousandParagonIslandSize[[#This Row],[Estimated Land Area on two sizes up]]</f>
        <v>0.26582278481012656</v>
      </c>
      <c r="AJ33" s="149" t="s">
        <v>604</v>
      </c>
      <c r="AK33" s="150"/>
      <c r="AL33" s="149" t="s">
        <v>180</v>
      </c>
    </row>
    <row r="34" spans="2:38" ht="23.25" x14ac:dyDescent="0.45">
      <c r="B34" s="139">
        <f t="shared" si="13"/>
        <v>58</v>
      </c>
      <c r="C34" s="141">
        <f t="shared" si="19"/>
        <v>2972</v>
      </c>
      <c r="D34" s="141">
        <f t="shared" si="20"/>
        <v>342</v>
      </c>
      <c r="E34" s="141">
        <f t="shared" si="21"/>
        <v>298</v>
      </c>
      <c r="F34" s="141">
        <f t="shared" si="9"/>
        <v>640</v>
      </c>
      <c r="H34" s="135">
        <f t="shared" si="6"/>
        <v>29</v>
      </c>
      <c r="I34" s="67">
        <f t="shared" si="10"/>
        <v>33554431</v>
      </c>
      <c r="J34" s="67">
        <f t="shared" si="11"/>
        <v>25</v>
      </c>
      <c r="K34" s="67">
        <f t="shared" si="12"/>
        <v>33554432</v>
      </c>
      <c r="L34" s="67" t="str">
        <f>IFERROR(INDEX(IslandSize[Island size (e.g. 12)],MATCH(K34,IslandSize[Favor on conquest and handover],0)),"-")</f>
        <v>-</v>
      </c>
      <c r="X34" s="199" t="s">
        <v>391</v>
      </c>
      <c r="Y34" s="153">
        <f>SUM(SUMIFS(IslandModel_1000P[Input 1 Needed],IslandModel_1000P[Input 1],"Land tile",'1000Paragons'!$AC$21:$AC$147,IslandSize!$X34),
SUMIFS(IslandModel_1000P[Input 1 Needed],IslandModel_1000P[Input 1],"Mountain tile",'1000Paragons'!$AC$21:$AC$147,IslandSize!$X34))</f>
        <v>21</v>
      </c>
      <c r="Z34" s="160" cm="1">
        <f t="array" ref="Z34">INDEX(IslandSize[Island size (e.g. 12)],COUNTIFS(IslandSize[Estimated land area],"&lt;"&amp;ThousandParagonIslandSize[[#This Row],[Land required]])+1)</f>
        <v>12</v>
      </c>
      <c r="AA34" s="154">
        <f>INDEX(IslandSize[Estimated land area],MATCH(ThousandParagonIslandSize[[#This Row],[Minimum Island Size]],IslandSize[Island size (e.g. 12)],0))</f>
        <v>74</v>
      </c>
      <c r="AB34" s="158">
        <f>ThousandParagonIslandSize[[#This Row],[Land required]]/ThousandParagonIslandSize[[#This Row],[Estimated Land Area on Island]]</f>
        <v>0.28378378378378377</v>
      </c>
      <c r="AC34" s="154">
        <f>ThousandParagonIslandSize[[#This Row],[Minimum Island Size]]+2</f>
        <v>14</v>
      </c>
      <c r="AD34" s="154">
        <f>INDEX(IslandSize[Estimated land area],MATCH(ThousandParagonIslandSize[[#This Row],[Next size up]],IslandSize[Island size (e.g. 12)],0))</f>
        <v>112</v>
      </c>
      <c r="AE34" s="159">
        <f>ThousandParagonIslandSize[[#This Row],[Land required]]/ThousandParagonIslandSize[[#This Row],[Estimated Land Area on next size up]]</f>
        <v>0.1875</v>
      </c>
      <c r="AF34" s="154">
        <f>ThousandParagonIslandSize[[#This Row],[Next size up]]+2</f>
        <v>16</v>
      </c>
      <c r="AG34" s="154">
        <f>INDEX(IslandSize[Estimated land area],MATCH(ThousandParagonIslandSize[[#This Row],[Two sizes up]],IslandSize[Island size (e.g. 12)],0))</f>
        <v>158</v>
      </c>
      <c r="AH34" s="159">
        <f>ThousandParagonIslandSize[[#This Row],[Land required]]/ThousandParagonIslandSize[[#This Row],[Estimated Land Area on two sizes up]]</f>
        <v>0.13291139240506328</v>
      </c>
      <c r="AJ34" s="150"/>
      <c r="AK34" s="150"/>
      <c r="AL34" s="149" t="s">
        <v>807</v>
      </c>
    </row>
    <row r="35" spans="2:38" ht="23.25" x14ac:dyDescent="0.45">
      <c r="B35" s="139">
        <f t="shared" si="13"/>
        <v>60</v>
      </c>
      <c r="C35" s="141">
        <f t="shared" si="19"/>
        <v>3194</v>
      </c>
      <c r="D35" s="141">
        <f t="shared" si="20"/>
        <v>354</v>
      </c>
      <c r="E35" s="141">
        <f t="shared" si="21"/>
        <v>320</v>
      </c>
      <c r="F35" s="141">
        <f t="shared" si="9"/>
        <v>672</v>
      </c>
      <c r="H35" s="135">
        <f t="shared" si="6"/>
        <v>30</v>
      </c>
      <c r="I35" s="67">
        <f t="shared" si="10"/>
        <v>67108863</v>
      </c>
      <c r="J35" s="67">
        <f t="shared" si="11"/>
        <v>26</v>
      </c>
      <c r="K35" s="67">
        <f t="shared" si="12"/>
        <v>67108864</v>
      </c>
      <c r="L35" s="67" t="str">
        <f>IFERROR(INDEX(IslandSize[Island size (e.g. 12)],MATCH(K35,IslandSize[Favor on conquest and handover],0)),"-")</f>
        <v>-</v>
      </c>
      <c r="X35" s="199" t="s">
        <v>87</v>
      </c>
      <c r="Y35" s="153">
        <f>SUM(SUMIFS(IslandModel_1000P[Input 1 Needed],IslandModel_1000P[Input 1],"Land tile",'1000Paragons'!$AC$21:$AC$147,IslandSize!$X35),
SUMIFS(IslandModel_1000P[Input 1 Needed],IslandModel_1000P[Input 1],"Mountain tile",'1000Paragons'!$AC$21:$AC$147,IslandSize!$X35))</f>
        <v>6</v>
      </c>
      <c r="Z35" s="160" cm="1">
        <f t="array" ref="Z35">INDEX(IslandSize[Island size (e.g. 12)],COUNTIFS(IslandSize[Estimated land area],"&lt;"&amp;ThousandParagonIslandSize[[#This Row],[Land required]])+1)</f>
        <v>12</v>
      </c>
      <c r="AA35" s="154">
        <f>INDEX(IslandSize[Estimated land area],MATCH(ThousandParagonIslandSize[[#This Row],[Minimum Island Size]],IslandSize[Island size (e.g. 12)],0))</f>
        <v>74</v>
      </c>
      <c r="AB35" s="158">
        <f>ThousandParagonIslandSize[[#This Row],[Land required]]/ThousandParagonIslandSize[[#This Row],[Estimated Land Area on Island]]</f>
        <v>8.1081081081081086E-2</v>
      </c>
      <c r="AC35" s="154">
        <f>ThousandParagonIslandSize[[#This Row],[Minimum Island Size]]+2</f>
        <v>14</v>
      </c>
      <c r="AD35" s="154">
        <f>INDEX(IslandSize[Estimated land area],MATCH(ThousandParagonIslandSize[[#This Row],[Next size up]],IslandSize[Island size (e.g. 12)],0))</f>
        <v>112</v>
      </c>
      <c r="AE35" s="159">
        <f>ThousandParagonIslandSize[[#This Row],[Land required]]/ThousandParagonIslandSize[[#This Row],[Estimated Land Area on next size up]]</f>
        <v>5.3571428571428568E-2</v>
      </c>
      <c r="AF35" s="154">
        <f>ThousandParagonIslandSize[[#This Row],[Next size up]]+2</f>
        <v>16</v>
      </c>
      <c r="AG35" s="154">
        <f>INDEX(IslandSize[Estimated land area],MATCH(ThousandParagonIslandSize[[#This Row],[Two sizes up]],IslandSize[Island size (e.g. 12)],0))</f>
        <v>158</v>
      </c>
      <c r="AH35" s="159">
        <f>ThousandParagonIslandSize[[#This Row],[Land required]]/ThousandParagonIslandSize[[#This Row],[Estimated Land Area on two sizes up]]</f>
        <v>3.7974683544303799E-2</v>
      </c>
      <c r="AJ35" s="150"/>
      <c r="AK35" s="150"/>
      <c r="AL35" s="149" t="s">
        <v>808</v>
      </c>
    </row>
    <row r="36" spans="2:38" ht="18" x14ac:dyDescent="0.45">
      <c r="H36" s="135">
        <f t="shared" si="6"/>
        <v>31</v>
      </c>
      <c r="I36" s="67">
        <f t="shared" si="10"/>
        <v>134217727</v>
      </c>
      <c r="J36" s="67">
        <f t="shared" si="11"/>
        <v>27</v>
      </c>
      <c r="K36" s="67">
        <f t="shared" si="12"/>
        <v>134217728</v>
      </c>
      <c r="L36" s="67" t="str">
        <f>IFERROR(INDEX(IslandSize[Island size (e.g. 12)],MATCH(K36,IslandSize[Favor on conquest and handover],0)),"-")</f>
        <v>-</v>
      </c>
    </row>
    <row r="37" spans="2:38" ht="18" x14ac:dyDescent="0.45">
      <c r="H37" s="135">
        <f t="shared" si="6"/>
        <v>32</v>
      </c>
      <c r="I37" s="67">
        <f t="shared" si="10"/>
        <v>268435455</v>
      </c>
      <c r="J37" s="67">
        <f t="shared" si="11"/>
        <v>28</v>
      </c>
      <c r="K37" s="67">
        <f t="shared" si="12"/>
        <v>268435456</v>
      </c>
      <c r="L37" s="67" t="str">
        <f>IFERROR(INDEX(IslandSize[Island size (e.g. 12)],MATCH(K37,IslandSize[Favor on conquest and handover],0)),"-")</f>
        <v>-</v>
      </c>
    </row>
    <row r="38" spans="2:38" ht="18" x14ac:dyDescent="0.45">
      <c r="H38" s="135">
        <f t="shared" si="6"/>
        <v>33</v>
      </c>
      <c r="I38" s="67">
        <f t="shared" si="10"/>
        <v>536870911</v>
      </c>
      <c r="J38" s="67">
        <f t="shared" si="11"/>
        <v>29.000000000000004</v>
      </c>
      <c r="K38" s="67">
        <f t="shared" si="12"/>
        <v>536870912.00000286</v>
      </c>
      <c r="L38" s="67" t="str">
        <f>IFERROR(INDEX(IslandSize[Island size (e.g. 12)],MATCH(K38,IslandSize[Favor on conquest and handover],0)),"-")</f>
        <v>-</v>
      </c>
    </row>
    <row r="39" spans="2:38" ht="18" x14ac:dyDescent="0.45">
      <c r="H39" s="135">
        <f t="shared" si="6"/>
        <v>34</v>
      </c>
      <c r="I39" s="67">
        <f t="shared" ref="I39:I41" si="22">2^(J38+1)-1</f>
        <v>1073741823.0000029</v>
      </c>
      <c r="J39" s="67">
        <f t="shared" ref="J39:J41" si="23">LOG(I39+1,2)</f>
        <v>30.000000000000004</v>
      </c>
      <c r="K39" s="67">
        <f t="shared" ref="K39:K41" si="24">IFERROR(MAX(0,I40-I39),0)</f>
        <v>1073741823.999999</v>
      </c>
      <c r="L39" s="67" t="str">
        <f>IFERROR(INDEX(IslandSize[Island size (e.g. 12)],MATCH(K39,IslandSize[Favor on conquest and handover],0)),"-")</f>
        <v>-</v>
      </c>
    </row>
    <row r="40" spans="2:38" ht="18" x14ac:dyDescent="0.45">
      <c r="H40" s="135">
        <f t="shared" si="6"/>
        <v>35</v>
      </c>
      <c r="I40" s="67">
        <f t="shared" si="22"/>
        <v>2147483647.0000019</v>
      </c>
      <c r="J40" s="67">
        <f t="shared" si="23"/>
        <v>31.000000000000004</v>
      </c>
      <c r="K40" s="67">
        <f t="shared" si="24"/>
        <v>2147483647.9999981</v>
      </c>
      <c r="L40" s="67" t="str">
        <f>IFERROR(INDEX(IslandSize[Island size (e.g. 12)],MATCH(K40,IslandSize[Favor on conquest and handover],0)),"-")</f>
        <v>-</v>
      </c>
    </row>
    <row r="41" spans="2:38" ht="18" x14ac:dyDescent="0.45">
      <c r="H41" s="136">
        <f t="shared" si="6"/>
        <v>36</v>
      </c>
      <c r="I41" s="105">
        <f t="shared" si="22"/>
        <v>4294967295</v>
      </c>
      <c r="J41" s="105">
        <f t="shared" si="23"/>
        <v>32</v>
      </c>
      <c r="K41" s="105">
        <f t="shared" si="24"/>
        <v>0</v>
      </c>
      <c r="L41" s="105" t="str">
        <f>IFERROR(INDEX(IslandSize[Island size (e.g. 12)],MATCH(K41,IslandSize[Favor on conquest and handover],0)),"-")</f>
        <v>-</v>
      </c>
    </row>
  </sheetData>
  <phoneticPr fontId="19" type="noConversion"/>
  <conditionalFormatting sqref="AB11:AB35">
    <cfRule type="dataBar" priority="7">
      <dataBar>
        <cfvo type="num" val="0"/>
        <cfvo type="num" val="1"/>
        <color rgb="FFFF555A"/>
      </dataBar>
      <extLst>
        <ext xmlns:x14="http://schemas.microsoft.com/office/spreadsheetml/2009/9/main" uri="{B025F937-C7B1-47D3-B67F-A62EFF666E3E}">
          <x14:id>{0BC793D7-574E-4592-B236-6DD0A9994955}</x14:id>
        </ext>
      </extLst>
    </cfRule>
  </conditionalFormatting>
  <conditionalFormatting sqref="AE11:AE35">
    <cfRule type="dataBar" priority="5">
      <dataBar>
        <cfvo type="num" val="0"/>
        <cfvo type="num" val="1"/>
        <color rgb="FFFF555A"/>
      </dataBar>
      <extLst>
        <ext xmlns:x14="http://schemas.microsoft.com/office/spreadsheetml/2009/9/main" uri="{B025F937-C7B1-47D3-B67F-A62EFF666E3E}">
          <x14:id>{36380090-B0C9-4726-8D76-044DA7C25661}</x14:id>
        </ext>
      </extLst>
    </cfRule>
  </conditionalFormatting>
  <conditionalFormatting sqref="AH11:AH35">
    <cfRule type="dataBar" priority="4">
      <dataBar>
        <cfvo type="num" val="0"/>
        <cfvo type="num" val="1"/>
        <color rgb="FFFF555A"/>
      </dataBar>
      <extLst>
        <ext xmlns:x14="http://schemas.microsoft.com/office/spreadsheetml/2009/9/main" uri="{B025F937-C7B1-47D3-B67F-A62EFF666E3E}">
          <x14:id>{5511F3BB-F8D9-4F31-83F7-11FA2ABC7035}</x14:id>
        </ext>
      </extLst>
    </cfRule>
  </conditionalFormatting>
  <conditionalFormatting sqref="U11:U26">
    <cfRule type="dataBar" priority="1">
      <dataBar>
        <cfvo type="min"/>
        <cfvo type="max"/>
        <color rgb="FF63C384"/>
      </dataBar>
      <extLst>
        <ext xmlns:x14="http://schemas.microsoft.com/office/spreadsheetml/2009/9/main" uri="{B025F937-C7B1-47D3-B67F-A62EFF666E3E}">
          <x14:id>{9683C899-55E9-4CE0-BD79-DD091AA73983}</x14:id>
        </ext>
      </extLst>
    </cfRule>
  </conditionalFormatting>
  <pageMargins left="0.7" right="0.7" top="0.75" bottom="0.75" header="0.3" footer="0.3"/>
  <pageSetup paperSize="9" orientation="portrait" horizontalDpi="4294967293" verticalDpi="0" r:id="rId1"/>
  <tableParts count="4">
    <tablePart r:id="rId2"/>
    <tablePart r:id="rId3"/>
    <tablePart r:id="rId4"/>
    <tablePart r:id="rId5"/>
  </tableParts>
  <extLst>
    <ext xmlns:x14="http://schemas.microsoft.com/office/spreadsheetml/2009/9/main" uri="{78C0D931-6437-407d-A8EE-F0AAD7539E65}">
      <x14:conditionalFormattings>
        <x14:conditionalFormatting xmlns:xm="http://schemas.microsoft.com/office/excel/2006/main">
          <x14:cfRule type="dataBar" id="{0BC793D7-574E-4592-B236-6DD0A9994955}">
            <x14:dataBar minLength="0" maxLength="100" border="1" negativeBarBorderColorSameAsPositive="0">
              <x14:cfvo type="num">
                <xm:f>0</xm:f>
              </x14:cfvo>
              <x14:cfvo type="num">
                <xm:f>1</xm:f>
              </x14:cfvo>
              <x14:borderColor rgb="FFFF555A"/>
              <x14:negativeFillColor rgb="FFFF0000"/>
              <x14:negativeBorderColor rgb="FFFF0000"/>
              <x14:axisColor rgb="FF000000"/>
            </x14:dataBar>
          </x14:cfRule>
          <xm:sqref>AB11:AB35</xm:sqref>
        </x14:conditionalFormatting>
        <x14:conditionalFormatting xmlns:xm="http://schemas.microsoft.com/office/excel/2006/main">
          <x14:cfRule type="dataBar" id="{36380090-B0C9-4726-8D76-044DA7C25661}">
            <x14:dataBar minLength="0" maxLength="100" border="1" negativeBarBorderColorSameAsPositive="0">
              <x14:cfvo type="num">
                <xm:f>0</xm:f>
              </x14:cfvo>
              <x14:cfvo type="num">
                <xm:f>1</xm:f>
              </x14:cfvo>
              <x14:borderColor rgb="FFFF555A"/>
              <x14:negativeFillColor rgb="FFFF0000"/>
              <x14:negativeBorderColor rgb="FFFF0000"/>
              <x14:axisColor rgb="FF000000"/>
            </x14:dataBar>
          </x14:cfRule>
          <xm:sqref>AE11:AE35</xm:sqref>
        </x14:conditionalFormatting>
        <x14:conditionalFormatting xmlns:xm="http://schemas.microsoft.com/office/excel/2006/main">
          <x14:cfRule type="dataBar" id="{5511F3BB-F8D9-4F31-83F7-11FA2ABC7035}">
            <x14:dataBar minLength="0" maxLength="100" border="1" negativeBarBorderColorSameAsPositive="0">
              <x14:cfvo type="num">
                <xm:f>0</xm:f>
              </x14:cfvo>
              <x14:cfvo type="num">
                <xm:f>1</xm:f>
              </x14:cfvo>
              <x14:borderColor rgb="FFFF555A"/>
              <x14:negativeFillColor rgb="FFFF0000"/>
              <x14:negativeBorderColor rgb="FFFF0000"/>
              <x14:axisColor rgb="FF000000"/>
            </x14:dataBar>
          </x14:cfRule>
          <xm:sqref>AH11:AH35</xm:sqref>
        </x14:conditionalFormatting>
        <x14:conditionalFormatting xmlns:xm="http://schemas.microsoft.com/office/excel/2006/main">
          <x14:cfRule type="dataBar" id="{9683C899-55E9-4CE0-BD79-DD091AA73983}">
            <x14:dataBar minLength="0" maxLength="100" border="1" negativeBarBorderColorSameAsPositive="0">
              <x14:cfvo type="autoMin"/>
              <x14:cfvo type="autoMax"/>
              <x14:borderColor rgb="FF63C384"/>
              <x14:negativeFillColor rgb="FFFF0000"/>
              <x14:negativeBorderColor rgb="FFFF0000"/>
              <x14:axisColor rgb="FF000000"/>
            </x14:dataBar>
          </x14:cfRule>
          <xm:sqref>U11:U26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A73FB-028A-4B76-A627-CD2D159D9DA6}">
  <sheetPr>
    <tabColor rgb="FFFFFF00"/>
  </sheetPr>
  <dimension ref="A1:J54"/>
  <sheetViews>
    <sheetView showGridLines="0" zoomScaleNormal="100" workbookViewId="0"/>
  </sheetViews>
  <sheetFormatPr defaultRowHeight="14.25" x14ac:dyDescent="0.45"/>
  <cols>
    <col min="1" max="1" width="35.3984375" customWidth="1"/>
    <col min="2" max="2" width="17" bestFit="1" customWidth="1"/>
    <col min="3" max="3" width="16.06640625" bestFit="1" customWidth="1"/>
    <col min="4" max="4" width="17.46484375" bestFit="1" customWidth="1"/>
    <col min="5" max="5" width="33.9296875" customWidth="1"/>
    <col min="6" max="6" width="44.46484375" customWidth="1"/>
    <col min="7" max="7" width="52.73046875" bestFit="1" customWidth="1"/>
    <col min="8" max="9" width="4" customWidth="1"/>
  </cols>
  <sheetData>
    <row r="1" spans="1:10" ht="23.25" x14ac:dyDescent="0.7">
      <c r="A1" s="1" t="s">
        <v>957</v>
      </c>
    </row>
    <row r="2" spans="1:10" x14ac:dyDescent="0.45">
      <c r="A2" s="13" t="s">
        <v>971</v>
      </c>
      <c r="B2" s="32">
        <v>44778</v>
      </c>
    </row>
    <row r="3" spans="1:10" x14ac:dyDescent="0.45">
      <c r="A3" s="13" t="s">
        <v>765</v>
      </c>
    </row>
    <row r="4" spans="1:10" x14ac:dyDescent="0.45">
      <c r="A4" s="13" t="s">
        <v>867</v>
      </c>
    </row>
    <row r="5" spans="1:10" x14ac:dyDescent="0.45">
      <c r="A5" s="13" t="s">
        <v>687</v>
      </c>
    </row>
    <row r="6" spans="1:10" x14ac:dyDescent="0.45">
      <c r="A6" s="13" t="s">
        <v>727</v>
      </c>
    </row>
    <row r="7" spans="1:10" x14ac:dyDescent="0.45">
      <c r="A7" s="13" t="s">
        <v>732</v>
      </c>
    </row>
    <row r="8" spans="1:10" x14ac:dyDescent="0.45">
      <c r="A8" s="13" t="s">
        <v>729</v>
      </c>
    </row>
    <row r="9" spans="1:10" ht="32.25" x14ac:dyDescent="0.45">
      <c r="C9" s="17" t="s">
        <v>700</v>
      </c>
      <c r="D9" s="17" t="s">
        <v>689</v>
      </c>
    </row>
    <row r="10" spans="1:10" ht="43.5" thickBot="1" x14ac:dyDescent="0.55000000000000004">
      <c r="A10" s="8" t="s">
        <v>681</v>
      </c>
      <c r="B10" s="8" t="s">
        <v>38</v>
      </c>
      <c r="C10" s="8" t="s">
        <v>682</v>
      </c>
      <c r="D10" s="8" t="s">
        <v>683</v>
      </c>
      <c r="E10" s="125" t="s">
        <v>684</v>
      </c>
      <c r="F10" s="8" t="s">
        <v>685</v>
      </c>
      <c r="G10" s="8" t="s">
        <v>54</v>
      </c>
      <c r="J10" s="126" t="s">
        <v>758</v>
      </c>
    </row>
    <row r="11" spans="1:10" ht="18.399999999999999" thickTop="1" x14ac:dyDescent="0.45">
      <c r="A11" s="127" t="s">
        <v>10</v>
      </c>
      <c r="B11" s="127" t="s">
        <v>10</v>
      </c>
      <c r="C11" s="124">
        <v>60</v>
      </c>
      <c r="D11" s="124">
        <v>6</v>
      </c>
      <c r="E11" s="128" t="s">
        <v>738</v>
      </c>
      <c r="F11" s="129" t="s">
        <v>686</v>
      </c>
      <c r="G11" s="129"/>
      <c r="J11" s="166" t="s">
        <v>697</v>
      </c>
    </row>
    <row r="12" spans="1:10" ht="18" x14ac:dyDescent="0.45">
      <c r="A12" s="127" t="s">
        <v>146</v>
      </c>
      <c r="B12" s="127" t="s">
        <v>146</v>
      </c>
      <c r="C12" s="124">
        <v>60</v>
      </c>
      <c r="D12" s="124">
        <v>30</v>
      </c>
      <c r="E12" s="128" t="s">
        <v>739</v>
      </c>
      <c r="F12" s="129" t="s">
        <v>690</v>
      </c>
      <c r="G12" s="129"/>
      <c r="J12" s="166" t="s">
        <v>698</v>
      </c>
    </row>
    <row r="13" spans="1:10" ht="18" x14ac:dyDescent="0.45">
      <c r="A13" s="127" t="s">
        <v>108</v>
      </c>
      <c r="B13" s="127" t="s">
        <v>108</v>
      </c>
      <c r="C13" s="124">
        <v>30</v>
      </c>
      <c r="D13" s="124">
        <v>15</v>
      </c>
      <c r="E13" s="128" t="s">
        <v>740</v>
      </c>
      <c r="F13" s="129" t="s">
        <v>691</v>
      </c>
      <c r="G13" s="129"/>
      <c r="J13" s="166" t="s">
        <v>844</v>
      </c>
    </row>
    <row r="14" spans="1:10" ht="18" x14ac:dyDescent="0.45">
      <c r="A14" s="127" t="s">
        <v>123</v>
      </c>
      <c r="B14" s="127" t="s">
        <v>123</v>
      </c>
      <c r="C14" s="124">
        <v>30</v>
      </c>
      <c r="D14" s="124">
        <v>15</v>
      </c>
      <c r="E14" s="128" t="s">
        <v>741</v>
      </c>
      <c r="F14" s="129" t="s">
        <v>908</v>
      </c>
      <c r="G14" s="129"/>
      <c r="J14" s="166" t="s">
        <v>843</v>
      </c>
    </row>
    <row r="15" spans="1:10" ht="28.5" x14ac:dyDescent="0.45">
      <c r="A15" s="127" t="s">
        <v>660</v>
      </c>
      <c r="B15" s="127" t="s">
        <v>660</v>
      </c>
      <c r="C15" s="124">
        <v>180</v>
      </c>
      <c r="D15" s="124">
        <v>45</v>
      </c>
      <c r="E15" s="128" t="s">
        <v>742</v>
      </c>
      <c r="F15" s="129" t="s">
        <v>713</v>
      </c>
      <c r="G15" s="129"/>
      <c r="J15" s="166" t="s">
        <v>853</v>
      </c>
    </row>
    <row r="16" spans="1:10" ht="42.75" x14ac:dyDescent="0.45">
      <c r="A16" s="127" t="s">
        <v>19</v>
      </c>
      <c r="B16" s="127" t="s">
        <v>19</v>
      </c>
      <c r="C16" s="124">
        <v>12</v>
      </c>
      <c r="D16" s="124">
        <v>6</v>
      </c>
      <c r="E16" s="128" t="s">
        <v>910</v>
      </c>
      <c r="F16" s="129" t="s">
        <v>909</v>
      </c>
      <c r="G16" s="129" t="s">
        <v>911</v>
      </c>
      <c r="J16" s="166" t="s">
        <v>728</v>
      </c>
    </row>
    <row r="17" spans="1:10" ht="42.75" x14ac:dyDescent="0.45">
      <c r="A17" s="127" t="s">
        <v>78</v>
      </c>
      <c r="B17" s="127" t="s">
        <v>78</v>
      </c>
      <c r="C17" s="124">
        <v>0.5</v>
      </c>
      <c r="D17" s="124" t="s">
        <v>710</v>
      </c>
      <c r="E17" s="128" t="s">
        <v>743</v>
      </c>
      <c r="F17" s="129" t="s">
        <v>688</v>
      </c>
      <c r="G17" s="129" t="s">
        <v>731</v>
      </c>
      <c r="J17" s="166" t="s">
        <v>730</v>
      </c>
    </row>
    <row r="18" spans="1:10" ht="18" x14ac:dyDescent="0.45">
      <c r="A18" s="127" t="s">
        <v>13</v>
      </c>
      <c r="B18" s="127" t="s">
        <v>13</v>
      </c>
      <c r="C18" s="124">
        <v>30</v>
      </c>
      <c r="D18" s="124">
        <v>6</v>
      </c>
      <c r="E18" s="128" t="s">
        <v>744</v>
      </c>
      <c r="F18" s="129" t="s">
        <v>894</v>
      </c>
      <c r="G18" s="129"/>
      <c r="J18" s="166" t="s">
        <v>736</v>
      </c>
    </row>
    <row r="19" spans="1:10" ht="18" x14ac:dyDescent="0.45">
      <c r="A19" s="127" t="s">
        <v>116</v>
      </c>
      <c r="B19" s="127" t="s">
        <v>116</v>
      </c>
      <c r="C19" s="124">
        <v>30</v>
      </c>
      <c r="D19" s="124">
        <v>30</v>
      </c>
      <c r="E19" s="128" t="s">
        <v>745</v>
      </c>
      <c r="F19" s="129" t="s">
        <v>692</v>
      </c>
      <c r="G19" s="129"/>
      <c r="J19" s="166" t="s">
        <v>737</v>
      </c>
    </row>
    <row r="20" spans="1:10" ht="42.75" x14ac:dyDescent="0.45">
      <c r="A20" s="127" t="s">
        <v>82</v>
      </c>
      <c r="B20" s="127" t="s">
        <v>82</v>
      </c>
      <c r="C20" s="124">
        <v>0.125</v>
      </c>
      <c r="D20" s="124" t="s">
        <v>710</v>
      </c>
      <c r="E20" s="128" t="s">
        <v>912</v>
      </c>
      <c r="F20" s="129" t="s">
        <v>913</v>
      </c>
      <c r="G20" s="129" t="s">
        <v>914</v>
      </c>
      <c r="J20" s="13"/>
    </row>
    <row r="21" spans="1:10" ht="18" x14ac:dyDescent="0.45">
      <c r="A21" s="127" t="s">
        <v>693</v>
      </c>
      <c r="B21" s="127" t="s">
        <v>137</v>
      </c>
      <c r="C21" s="124">
        <v>15</v>
      </c>
      <c r="D21" s="124">
        <v>15</v>
      </c>
      <c r="E21" s="128" t="s">
        <v>854</v>
      </c>
      <c r="F21" s="129" t="s">
        <v>848</v>
      </c>
      <c r="G21" s="129"/>
    </row>
    <row r="22" spans="1:10" ht="42.75" x14ac:dyDescent="0.45">
      <c r="A22" s="127" t="s">
        <v>695</v>
      </c>
      <c r="B22" s="127" t="s">
        <v>137</v>
      </c>
      <c r="C22" s="124">
        <v>45</v>
      </c>
      <c r="D22" s="124">
        <v>15</v>
      </c>
      <c r="E22" s="128" t="s">
        <v>841</v>
      </c>
      <c r="F22" s="129" t="s">
        <v>849</v>
      </c>
      <c r="G22" s="129" t="s">
        <v>855</v>
      </c>
    </row>
    <row r="23" spans="1:10" ht="18" x14ac:dyDescent="0.45">
      <c r="A23" s="127" t="s">
        <v>696</v>
      </c>
      <c r="B23" s="127" t="s">
        <v>137</v>
      </c>
      <c r="C23" s="124">
        <v>15</v>
      </c>
      <c r="D23" s="124">
        <v>15</v>
      </c>
      <c r="E23" s="128" t="s">
        <v>746</v>
      </c>
      <c r="F23" s="129" t="s">
        <v>850</v>
      </c>
      <c r="G23" s="129" t="s">
        <v>699</v>
      </c>
    </row>
    <row r="24" spans="1:10" ht="18" x14ac:dyDescent="0.45">
      <c r="A24" s="127" t="s">
        <v>694</v>
      </c>
      <c r="B24" s="127" t="s">
        <v>137</v>
      </c>
      <c r="C24" s="124">
        <v>45</v>
      </c>
      <c r="D24" s="124">
        <v>15</v>
      </c>
      <c r="E24" s="128" t="s">
        <v>747</v>
      </c>
      <c r="F24" s="129" t="s">
        <v>851</v>
      </c>
      <c r="G24" s="129"/>
    </row>
    <row r="25" spans="1:10" ht="18" x14ac:dyDescent="0.45">
      <c r="A25" s="127" t="s">
        <v>868</v>
      </c>
      <c r="B25" s="127" t="s">
        <v>120</v>
      </c>
      <c r="C25" s="124">
        <v>15</v>
      </c>
      <c r="D25" s="124">
        <v>15</v>
      </c>
      <c r="E25" s="128" t="s">
        <v>748</v>
      </c>
      <c r="F25" s="129" t="s">
        <v>865</v>
      </c>
      <c r="G25" s="129" t="s">
        <v>866</v>
      </c>
    </row>
    <row r="26" spans="1:10" ht="42.75" x14ac:dyDescent="0.45">
      <c r="A26" s="127" t="s">
        <v>77</v>
      </c>
      <c r="B26" s="127" t="s">
        <v>77</v>
      </c>
      <c r="C26" s="124">
        <v>1</v>
      </c>
      <c r="D26" s="124" t="s">
        <v>710</v>
      </c>
      <c r="E26" s="128" t="s">
        <v>749</v>
      </c>
      <c r="F26" s="129" t="s">
        <v>688</v>
      </c>
      <c r="G26" s="129" t="s">
        <v>733</v>
      </c>
    </row>
    <row r="27" spans="1:10" ht="28.5" x14ac:dyDescent="0.45">
      <c r="A27" s="127" t="s">
        <v>18</v>
      </c>
      <c r="B27" s="127" t="s">
        <v>18</v>
      </c>
      <c r="C27" s="124">
        <v>60</v>
      </c>
      <c r="D27" s="124">
        <v>6</v>
      </c>
      <c r="E27" s="128" t="s">
        <v>916</v>
      </c>
      <c r="F27" s="129" t="s">
        <v>915</v>
      </c>
      <c r="G27" s="129"/>
    </row>
    <row r="28" spans="1:10" ht="42.75" x14ac:dyDescent="0.45">
      <c r="A28" s="127" t="s">
        <v>17</v>
      </c>
      <c r="B28" s="127" t="s">
        <v>17</v>
      </c>
      <c r="C28" s="124">
        <v>6</v>
      </c>
      <c r="D28" s="124">
        <v>6</v>
      </c>
      <c r="E28" s="128" t="s">
        <v>917</v>
      </c>
      <c r="F28" s="129" t="s">
        <v>918</v>
      </c>
      <c r="G28" s="129" t="s">
        <v>919</v>
      </c>
    </row>
    <row r="29" spans="1:10" ht="18" x14ac:dyDescent="0.45">
      <c r="A29" s="127" t="s">
        <v>701</v>
      </c>
      <c r="B29" s="127" t="s">
        <v>367</v>
      </c>
      <c r="C29" s="124">
        <v>30</v>
      </c>
      <c r="D29" s="124">
        <v>30</v>
      </c>
      <c r="E29" s="128" t="s">
        <v>745</v>
      </c>
      <c r="F29" s="129" t="s">
        <v>705</v>
      </c>
      <c r="G29" s="129"/>
    </row>
    <row r="30" spans="1:10" ht="18" x14ac:dyDescent="0.45">
      <c r="A30" s="127" t="s">
        <v>702</v>
      </c>
      <c r="B30" s="127" t="s">
        <v>367</v>
      </c>
      <c r="C30" s="124">
        <v>45</v>
      </c>
      <c r="D30" s="124">
        <v>45</v>
      </c>
      <c r="E30" s="128" t="s">
        <v>842</v>
      </c>
      <c r="F30" s="129" t="s">
        <v>707</v>
      </c>
      <c r="G30" s="129"/>
    </row>
    <row r="31" spans="1:10" ht="18" x14ac:dyDescent="0.45">
      <c r="A31" s="127" t="s">
        <v>703</v>
      </c>
      <c r="B31" s="127" t="s">
        <v>367</v>
      </c>
      <c r="C31" s="124">
        <v>30</v>
      </c>
      <c r="D31" s="124">
        <v>30</v>
      </c>
      <c r="E31" s="128" t="s">
        <v>748</v>
      </c>
      <c r="F31" s="129" t="s">
        <v>706</v>
      </c>
      <c r="G31" s="129"/>
    </row>
    <row r="32" spans="1:10" ht="18" x14ac:dyDescent="0.45">
      <c r="A32" s="127" t="s">
        <v>704</v>
      </c>
      <c r="B32" s="127" t="s">
        <v>367</v>
      </c>
      <c r="C32" s="124">
        <v>90</v>
      </c>
      <c r="D32" s="124">
        <v>45</v>
      </c>
      <c r="E32" s="128" t="s">
        <v>750</v>
      </c>
      <c r="F32" s="129" t="s">
        <v>708</v>
      </c>
      <c r="G32" s="129"/>
    </row>
    <row r="33" spans="1:7" ht="28.5" x14ac:dyDescent="0.45">
      <c r="A33" s="127" t="s">
        <v>379</v>
      </c>
      <c r="B33" s="127" t="s">
        <v>379</v>
      </c>
      <c r="C33" s="124">
        <v>180</v>
      </c>
      <c r="D33" s="124">
        <v>90</v>
      </c>
      <c r="E33" s="128" t="s">
        <v>751</v>
      </c>
      <c r="F33" s="129" t="s">
        <v>711</v>
      </c>
      <c r="G33" s="129"/>
    </row>
    <row r="34" spans="1:7" ht="42.75" x14ac:dyDescent="0.45">
      <c r="A34" s="127" t="s">
        <v>391</v>
      </c>
      <c r="B34" s="127" t="s">
        <v>391</v>
      </c>
      <c r="C34" s="124">
        <v>60</v>
      </c>
      <c r="D34" s="124">
        <v>15</v>
      </c>
      <c r="E34" s="128" t="s">
        <v>922</v>
      </c>
      <c r="F34" s="129" t="s">
        <v>920</v>
      </c>
      <c r="G34" s="129" t="s">
        <v>921</v>
      </c>
    </row>
    <row r="35" spans="1:7" ht="28.5" x14ac:dyDescent="0.45">
      <c r="A35" s="127" t="s">
        <v>393</v>
      </c>
      <c r="B35" s="127" t="s">
        <v>393</v>
      </c>
      <c r="C35" s="124">
        <v>30</v>
      </c>
      <c r="D35" s="124">
        <v>6</v>
      </c>
      <c r="E35" s="128" t="s">
        <v>767</v>
      </c>
      <c r="F35" s="129" t="s">
        <v>714</v>
      </c>
      <c r="G35" s="129"/>
    </row>
    <row r="36" spans="1:7" ht="42.75" x14ac:dyDescent="0.45">
      <c r="A36" s="127" t="s">
        <v>81</v>
      </c>
      <c r="B36" s="127" t="s">
        <v>81</v>
      </c>
      <c r="C36" s="124">
        <v>0.15</v>
      </c>
      <c r="D36" s="124" t="s">
        <v>710</v>
      </c>
      <c r="E36" s="128" t="s">
        <v>923</v>
      </c>
      <c r="F36" s="129" t="s">
        <v>913</v>
      </c>
      <c r="G36" s="129" t="s">
        <v>924</v>
      </c>
    </row>
    <row r="37" spans="1:7" ht="18" x14ac:dyDescent="0.45">
      <c r="A37" s="127" t="s">
        <v>652</v>
      </c>
      <c r="B37" s="127" t="s">
        <v>652</v>
      </c>
      <c r="C37" s="124">
        <v>1</v>
      </c>
      <c r="D37" s="124">
        <v>1</v>
      </c>
      <c r="E37" s="128" t="s">
        <v>745</v>
      </c>
      <c r="F37" s="129" t="s">
        <v>895</v>
      </c>
      <c r="G37" s="129"/>
    </row>
    <row r="38" spans="1:7" ht="28.5" x14ac:dyDescent="0.45">
      <c r="A38" s="127" t="s">
        <v>372</v>
      </c>
      <c r="B38" s="127" t="s">
        <v>372</v>
      </c>
      <c r="C38" s="124">
        <v>30</v>
      </c>
      <c r="D38" s="124">
        <v>15</v>
      </c>
      <c r="E38" s="128" t="s">
        <v>968</v>
      </c>
      <c r="F38" s="129" t="s">
        <v>852</v>
      </c>
      <c r="G38" s="129"/>
    </row>
    <row r="39" spans="1:7" ht="28.5" x14ac:dyDescent="0.45">
      <c r="A39" s="127" t="s">
        <v>374</v>
      </c>
      <c r="B39" s="127" t="s">
        <v>374</v>
      </c>
      <c r="C39" s="124">
        <v>120</v>
      </c>
      <c r="D39" s="124">
        <v>15</v>
      </c>
      <c r="E39" s="128" t="s">
        <v>753</v>
      </c>
      <c r="F39" s="129" t="s">
        <v>715</v>
      </c>
      <c r="G39" s="129"/>
    </row>
    <row r="40" spans="1:7" ht="18" x14ac:dyDescent="0.45">
      <c r="A40" s="127" t="s">
        <v>173</v>
      </c>
      <c r="B40" s="127" t="s">
        <v>173</v>
      </c>
      <c r="C40" s="124">
        <v>30</v>
      </c>
      <c r="D40" s="124">
        <v>7.5</v>
      </c>
      <c r="E40" s="128" t="s">
        <v>898</v>
      </c>
      <c r="F40" s="129" t="s">
        <v>716</v>
      </c>
      <c r="G40" s="129"/>
    </row>
    <row r="41" spans="1:7" ht="42.75" x14ac:dyDescent="0.45">
      <c r="A41" s="127" t="s">
        <v>79</v>
      </c>
      <c r="B41" s="127" t="s">
        <v>79</v>
      </c>
      <c r="C41" s="124">
        <v>0.375</v>
      </c>
      <c r="D41" s="124" t="s">
        <v>710</v>
      </c>
      <c r="E41" s="128" t="s">
        <v>754</v>
      </c>
      <c r="F41" s="129" t="s">
        <v>709</v>
      </c>
      <c r="G41" s="129" t="s">
        <v>734</v>
      </c>
    </row>
    <row r="42" spans="1:7" ht="28.5" x14ac:dyDescent="0.45">
      <c r="A42" s="127" t="s">
        <v>16</v>
      </c>
      <c r="B42" s="127" t="s">
        <v>16</v>
      </c>
      <c r="C42" s="124">
        <v>30</v>
      </c>
      <c r="D42" s="124">
        <v>6</v>
      </c>
      <c r="E42" s="128" t="s">
        <v>752</v>
      </c>
      <c r="F42" s="129" t="s">
        <v>717</v>
      </c>
      <c r="G42" s="129"/>
    </row>
    <row r="43" spans="1:7" ht="18" x14ac:dyDescent="0.45">
      <c r="A43" s="127" t="s">
        <v>72</v>
      </c>
      <c r="B43" s="127" t="s">
        <v>72</v>
      </c>
      <c r="C43" s="124">
        <v>30</v>
      </c>
      <c r="D43" s="124">
        <v>30</v>
      </c>
      <c r="E43" s="128" t="s">
        <v>745</v>
      </c>
      <c r="F43" s="129" t="s">
        <v>718</v>
      </c>
      <c r="G43" s="129"/>
    </row>
    <row r="44" spans="1:7" ht="28.5" x14ac:dyDescent="0.45">
      <c r="A44" s="127" t="s">
        <v>15</v>
      </c>
      <c r="B44" s="127" t="s">
        <v>15</v>
      </c>
      <c r="C44" s="124">
        <v>30</v>
      </c>
      <c r="D44" s="124">
        <v>6</v>
      </c>
      <c r="E44" s="128" t="s">
        <v>755</v>
      </c>
      <c r="F44" s="129" t="s">
        <v>719</v>
      </c>
      <c r="G44" s="129"/>
    </row>
    <row r="45" spans="1:7" ht="28.5" x14ac:dyDescent="0.45">
      <c r="A45" s="127" t="s">
        <v>721</v>
      </c>
      <c r="B45" s="127" t="s">
        <v>167</v>
      </c>
      <c r="C45" s="124">
        <v>120</v>
      </c>
      <c r="D45" s="124">
        <v>60</v>
      </c>
      <c r="E45" s="128" t="s">
        <v>761</v>
      </c>
      <c r="F45" s="129" t="s">
        <v>722</v>
      </c>
      <c r="G45" s="129" t="s">
        <v>762</v>
      </c>
    </row>
    <row r="46" spans="1:7" ht="18" x14ac:dyDescent="0.45">
      <c r="A46" s="127" t="s">
        <v>720</v>
      </c>
      <c r="B46" s="127" t="s">
        <v>167</v>
      </c>
      <c r="C46" s="124">
        <v>300</v>
      </c>
      <c r="D46" s="124">
        <v>60</v>
      </c>
      <c r="E46" s="128" t="s">
        <v>746</v>
      </c>
      <c r="F46" s="129" t="s">
        <v>723</v>
      </c>
      <c r="G46" s="129"/>
    </row>
    <row r="47" spans="1:7" ht="18" x14ac:dyDescent="0.45">
      <c r="A47" s="127" t="s">
        <v>152</v>
      </c>
      <c r="B47" s="127" t="s">
        <v>152</v>
      </c>
      <c r="C47" s="124">
        <v>1</v>
      </c>
      <c r="D47" s="124">
        <v>1</v>
      </c>
      <c r="E47" s="128" t="s">
        <v>756</v>
      </c>
      <c r="F47" s="129" t="s">
        <v>724</v>
      </c>
      <c r="G47" s="129"/>
    </row>
    <row r="48" spans="1:7" ht="42.75" x14ac:dyDescent="0.45">
      <c r="A48" s="127" t="s">
        <v>80</v>
      </c>
      <c r="B48" s="127" t="s">
        <v>80</v>
      </c>
      <c r="C48" s="124">
        <v>0.375</v>
      </c>
      <c r="D48" s="124" t="s">
        <v>710</v>
      </c>
      <c r="E48" s="128" t="s">
        <v>757</v>
      </c>
      <c r="F48" s="129" t="s">
        <v>709</v>
      </c>
      <c r="G48" s="129" t="s">
        <v>735</v>
      </c>
    </row>
    <row r="49" spans="1:7" ht="57" x14ac:dyDescent="0.45">
      <c r="A49" s="127" t="s">
        <v>83</v>
      </c>
      <c r="B49" s="127" t="s">
        <v>83</v>
      </c>
      <c r="C49" s="124">
        <v>0.05</v>
      </c>
      <c r="D49" s="124" t="s">
        <v>710</v>
      </c>
      <c r="E49" s="128" t="s">
        <v>905</v>
      </c>
      <c r="F49" s="129" t="s">
        <v>906</v>
      </c>
      <c r="G49" s="129" t="s">
        <v>907</v>
      </c>
    </row>
    <row r="50" spans="1:7" ht="18" x14ac:dyDescent="0.45">
      <c r="A50" s="127" t="s">
        <v>368</v>
      </c>
      <c r="B50" s="127" t="s">
        <v>368</v>
      </c>
      <c r="C50" s="124">
        <v>60</v>
      </c>
      <c r="D50" s="124">
        <v>15</v>
      </c>
      <c r="E50" s="128" t="s">
        <v>898</v>
      </c>
      <c r="F50" s="129" t="s">
        <v>904</v>
      </c>
      <c r="G50" s="129"/>
    </row>
    <row r="51" spans="1:7" ht="28.5" x14ac:dyDescent="0.45">
      <c r="A51" s="127" t="s">
        <v>464</v>
      </c>
      <c r="B51" s="127" t="s">
        <v>464</v>
      </c>
      <c r="C51" s="124">
        <v>1</v>
      </c>
      <c r="D51" s="124">
        <v>1</v>
      </c>
      <c r="E51" s="128" t="s">
        <v>760</v>
      </c>
      <c r="F51" s="129" t="s">
        <v>725</v>
      </c>
      <c r="G51" s="129" t="s">
        <v>763</v>
      </c>
    </row>
    <row r="52" spans="1:7" ht="57" x14ac:dyDescent="0.45">
      <c r="A52" s="127" t="s">
        <v>84</v>
      </c>
      <c r="B52" s="127" t="s">
        <v>84</v>
      </c>
      <c r="C52" s="165">
        <v>4.1666666666666664E-2</v>
      </c>
      <c r="D52" s="124" t="s">
        <v>710</v>
      </c>
      <c r="E52" s="128" t="s">
        <v>925</v>
      </c>
      <c r="F52" s="129" t="s">
        <v>906</v>
      </c>
      <c r="G52" s="129" t="s">
        <v>926</v>
      </c>
    </row>
    <row r="53" spans="1:7" ht="28.5" x14ac:dyDescent="0.45">
      <c r="A53" s="127" t="s">
        <v>382</v>
      </c>
      <c r="B53" s="127" t="s">
        <v>382</v>
      </c>
      <c r="C53" s="124">
        <v>135</v>
      </c>
      <c r="D53" s="124">
        <v>45</v>
      </c>
      <c r="E53" s="128" t="s">
        <v>759</v>
      </c>
      <c r="F53" s="129" t="s">
        <v>726</v>
      </c>
      <c r="G53" s="129" t="s">
        <v>764</v>
      </c>
    </row>
    <row r="54" spans="1:7" ht="28.5" x14ac:dyDescent="0.45">
      <c r="A54" s="127" t="s">
        <v>87</v>
      </c>
      <c r="B54" s="127" t="s">
        <v>87</v>
      </c>
      <c r="C54" s="124">
        <v>60</v>
      </c>
      <c r="D54" s="124">
        <v>15</v>
      </c>
      <c r="E54" s="128" t="s">
        <v>928</v>
      </c>
      <c r="F54" s="129" t="s">
        <v>927</v>
      </c>
      <c r="G54" s="129"/>
    </row>
  </sheetData>
  <pageMargins left="0.7" right="0.7" top="0.75" bottom="0.75" header="0.3" footer="0.3"/>
  <pageSetup paperSize="9" orientation="portrait" horizontalDpi="4294967293" verticalDpi="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624F8-9C34-44A7-9788-32F73D50816C}">
  <sheetPr>
    <tabColor rgb="FF0070C0"/>
  </sheetPr>
  <dimension ref="A1:AM200"/>
  <sheetViews>
    <sheetView zoomScale="85" zoomScaleNormal="85" workbookViewId="0"/>
  </sheetViews>
  <sheetFormatPr defaultRowHeight="14.25" x14ac:dyDescent="0.45"/>
  <cols>
    <col min="1" max="1" width="23.33203125" bestFit="1" customWidth="1"/>
    <col min="2" max="39" width="4" customWidth="1"/>
  </cols>
  <sheetData>
    <row r="1" spans="1:30" ht="23.25" x14ac:dyDescent="0.7">
      <c r="A1" s="1" t="s">
        <v>954</v>
      </c>
    </row>
    <row r="2" spans="1:30" x14ac:dyDescent="0.45">
      <c r="A2" s="13" t="s">
        <v>967</v>
      </c>
    </row>
    <row r="3" spans="1:30" x14ac:dyDescent="0.45">
      <c r="A3" s="32">
        <v>44778</v>
      </c>
    </row>
    <row r="4" spans="1:30" ht="23.35" customHeight="1" x14ac:dyDescent="0.45"/>
    <row r="5" spans="1:30" ht="23.35" customHeight="1" x14ac:dyDescent="0.45"/>
    <row r="6" spans="1:30" ht="23.35" customHeight="1" x14ac:dyDescent="0.45"/>
    <row r="7" spans="1:30" ht="23.35" customHeight="1" x14ac:dyDescent="0.45"/>
    <row r="8" spans="1:30" ht="23.35" customHeight="1" x14ac:dyDescent="0.45"/>
    <row r="9" spans="1:30" ht="23.35" customHeight="1" thickBot="1" x14ac:dyDescent="0.65">
      <c r="A9" s="6" t="s">
        <v>955</v>
      </c>
    </row>
    <row r="10" spans="1:30" ht="23.35" customHeight="1" thickTop="1" thickBot="1" x14ac:dyDescent="0.5"/>
    <row r="11" spans="1:30" ht="23.35" customHeight="1" x14ac:dyDescent="0.45">
      <c r="B11" s="331"/>
      <c r="C11" s="330"/>
      <c r="D11" s="330"/>
      <c r="E11" s="330"/>
      <c r="F11" s="330"/>
      <c r="G11" s="330"/>
      <c r="H11" s="330"/>
      <c r="I11" s="330"/>
      <c r="J11" s="329"/>
      <c r="L11" s="328"/>
      <c r="M11" s="327"/>
      <c r="N11" s="327"/>
      <c r="O11" s="327"/>
      <c r="P11" s="327"/>
      <c r="Q11" s="327"/>
      <c r="R11" s="327"/>
      <c r="S11" s="327"/>
      <c r="T11" s="326"/>
      <c r="V11" s="325"/>
      <c r="W11" s="324"/>
      <c r="X11" s="324"/>
      <c r="Y11" s="324"/>
      <c r="Z11" s="324"/>
      <c r="AA11" s="324"/>
      <c r="AB11" s="324"/>
      <c r="AC11" s="324"/>
      <c r="AD11" s="323"/>
    </row>
    <row r="12" spans="1:30" ht="23.35" customHeight="1" x14ac:dyDescent="0.45">
      <c r="B12" s="319"/>
      <c r="C12" s="318"/>
      <c r="D12" s="318"/>
      <c r="E12" s="318"/>
      <c r="F12" s="318"/>
      <c r="G12" s="318"/>
      <c r="H12" s="318"/>
      <c r="I12" s="318"/>
      <c r="J12" s="317"/>
      <c r="L12" s="316"/>
      <c r="M12" s="315"/>
      <c r="N12" s="315"/>
      <c r="O12" s="315"/>
      <c r="P12" s="315"/>
      <c r="Q12" s="315"/>
      <c r="R12" s="315"/>
      <c r="S12" s="315"/>
      <c r="T12" s="314"/>
      <c r="V12" s="313"/>
      <c r="W12" s="312"/>
      <c r="X12" s="312"/>
      <c r="Y12" s="312"/>
      <c r="Z12" s="312"/>
      <c r="AA12" s="312"/>
      <c r="AB12" s="312"/>
      <c r="AC12" s="312"/>
      <c r="AD12" s="311"/>
    </row>
    <row r="13" spans="1:30" ht="23.35" customHeight="1" x14ac:dyDescent="0.45">
      <c r="B13" s="319"/>
      <c r="C13" s="318"/>
      <c r="D13" s="318"/>
      <c r="E13" s="318"/>
      <c r="F13" s="318"/>
      <c r="G13" s="318"/>
      <c r="H13" s="318"/>
      <c r="I13" s="318"/>
      <c r="J13" s="317"/>
      <c r="L13" s="316"/>
      <c r="M13" s="315"/>
      <c r="N13" s="315"/>
      <c r="O13" s="315"/>
      <c r="P13" s="315"/>
      <c r="Q13" s="315"/>
      <c r="R13" s="315"/>
      <c r="S13" s="315"/>
      <c r="T13" s="314"/>
      <c r="V13" s="313"/>
      <c r="W13" s="312"/>
      <c r="X13" s="312"/>
      <c r="Y13" s="312"/>
      <c r="Z13" s="312"/>
      <c r="AA13" s="312"/>
      <c r="AB13" s="312"/>
      <c r="AC13" s="312"/>
      <c r="AD13" s="311"/>
    </row>
    <row r="14" spans="1:30" ht="23.35" customHeight="1" x14ac:dyDescent="0.45">
      <c r="B14" s="319"/>
      <c r="C14" s="318"/>
      <c r="D14" s="318"/>
      <c r="E14" s="318"/>
      <c r="F14" s="318"/>
      <c r="G14" s="318"/>
      <c r="H14" s="318"/>
      <c r="I14" s="318"/>
      <c r="J14" s="317"/>
      <c r="L14" s="316"/>
      <c r="M14" s="315"/>
      <c r="N14" s="315"/>
      <c r="O14" s="315"/>
      <c r="P14" s="315"/>
      <c r="Q14" s="315"/>
      <c r="R14" s="315"/>
      <c r="S14" s="315"/>
      <c r="T14" s="314"/>
      <c r="V14" s="313"/>
      <c r="W14" s="312"/>
      <c r="X14" s="312"/>
      <c r="Y14" s="312"/>
      <c r="Z14" s="312"/>
      <c r="AA14" s="312"/>
      <c r="AB14" s="312"/>
      <c r="AC14" s="312"/>
      <c r="AD14" s="311"/>
    </row>
    <row r="15" spans="1:30" ht="23.35" customHeight="1" x14ac:dyDescent="0.45">
      <c r="B15" s="319"/>
      <c r="C15" s="318"/>
      <c r="D15" s="318"/>
      <c r="E15" s="318"/>
      <c r="F15" s="322" t="s">
        <v>463</v>
      </c>
      <c r="G15" s="318"/>
      <c r="H15" s="318"/>
      <c r="I15" s="318"/>
      <c r="J15" s="317"/>
      <c r="L15" s="316"/>
      <c r="M15" s="315"/>
      <c r="N15" s="315"/>
      <c r="O15" s="315"/>
      <c r="P15" s="321" t="s">
        <v>464</v>
      </c>
      <c r="Q15" s="315"/>
      <c r="R15" s="315"/>
      <c r="S15" s="315"/>
      <c r="T15" s="314"/>
      <c r="V15" s="313"/>
      <c r="W15" s="312"/>
      <c r="X15" s="312"/>
      <c r="Y15" s="312"/>
      <c r="Z15" s="320" t="s">
        <v>462</v>
      </c>
      <c r="AA15" s="312"/>
      <c r="AB15" s="312"/>
      <c r="AC15" s="312"/>
      <c r="AD15" s="311"/>
    </row>
    <row r="16" spans="1:30" ht="23.35" customHeight="1" x14ac:dyDescent="0.45">
      <c r="B16" s="319"/>
      <c r="C16" s="318"/>
      <c r="D16" s="318"/>
      <c r="E16" s="318"/>
      <c r="F16" s="318"/>
      <c r="G16" s="318"/>
      <c r="H16" s="318"/>
      <c r="I16" s="318"/>
      <c r="J16" s="317"/>
      <c r="L16" s="316"/>
      <c r="M16" s="315"/>
      <c r="N16" s="315"/>
      <c r="O16" s="315"/>
      <c r="P16" s="315"/>
      <c r="Q16" s="315"/>
      <c r="R16" s="315"/>
      <c r="S16" s="315"/>
      <c r="T16" s="314"/>
      <c r="V16" s="313"/>
      <c r="W16" s="312"/>
      <c r="X16" s="312"/>
      <c r="Y16" s="312"/>
      <c r="Z16" s="312"/>
      <c r="AA16" s="312"/>
      <c r="AB16" s="312"/>
      <c r="AC16" s="312"/>
      <c r="AD16" s="311"/>
    </row>
    <row r="17" spans="2:30" ht="23.35" customHeight="1" x14ac:dyDescent="0.45">
      <c r="B17" s="319"/>
      <c r="C17" s="318"/>
      <c r="D17" s="318"/>
      <c r="E17" s="318"/>
      <c r="F17" s="318"/>
      <c r="G17" s="318"/>
      <c r="H17" s="318"/>
      <c r="I17" s="318"/>
      <c r="J17" s="317"/>
      <c r="L17" s="316"/>
      <c r="M17" s="315"/>
      <c r="N17" s="315"/>
      <c r="O17" s="315"/>
      <c r="P17" s="315"/>
      <c r="Q17" s="315"/>
      <c r="R17" s="315"/>
      <c r="S17" s="315"/>
      <c r="T17" s="314"/>
      <c r="V17" s="313"/>
      <c r="W17" s="312"/>
      <c r="X17" s="312"/>
      <c r="Y17" s="312"/>
      <c r="Z17" s="312"/>
      <c r="AA17" s="312"/>
      <c r="AB17" s="312"/>
      <c r="AC17" s="312"/>
      <c r="AD17" s="311"/>
    </row>
    <row r="18" spans="2:30" ht="23.35" customHeight="1" x14ac:dyDescent="0.45">
      <c r="B18" s="319"/>
      <c r="C18" s="318"/>
      <c r="D18" s="318"/>
      <c r="E18" s="318"/>
      <c r="F18" s="318"/>
      <c r="G18" s="318"/>
      <c r="H18" s="318"/>
      <c r="I18" s="318"/>
      <c r="J18" s="317"/>
      <c r="L18" s="316"/>
      <c r="M18" s="315"/>
      <c r="N18" s="315"/>
      <c r="O18" s="315"/>
      <c r="P18" s="315"/>
      <c r="Q18" s="315"/>
      <c r="R18" s="315"/>
      <c r="S18" s="315"/>
      <c r="T18" s="314"/>
      <c r="V18" s="313"/>
      <c r="W18" s="312"/>
      <c r="X18" s="312"/>
      <c r="Y18" s="312"/>
      <c r="Z18" s="312"/>
      <c r="AA18" s="312"/>
      <c r="AB18" s="312"/>
      <c r="AC18" s="312"/>
      <c r="AD18" s="311"/>
    </row>
    <row r="19" spans="2:30" ht="23.35" customHeight="1" thickBot="1" x14ac:dyDescent="0.5">
      <c r="B19" s="310"/>
      <c r="C19" s="309"/>
      <c r="D19" s="309"/>
      <c r="E19" s="309"/>
      <c r="F19" s="309"/>
      <c r="G19" s="309"/>
      <c r="H19" s="309"/>
      <c r="I19" s="309"/>
      <c r="J19" s="308"/>
      <c r="L19" s="307"/>
      <c r="M19" s="306"/>
      <c r="N19" s="306"/>
      <c r="O19" s="306"/>
      <c r="P19" s="306"/>
      <c r="Q19" s="306"/>
      <c r="R19" s="306"/>
      <c r="S19" s="306"/>
      <c r="T19" s="305"/>
      <c r="V19" s="304"/>
      <c r="W19" s="303"/>
      <c r="X19" s="303"/>
      <c r="Y19" s="303"/>
      <c r="Z19" s="303"/>
      <c r="AA19" s="303"/>
      <c r="AB19" s="303"/>
      <c r="AC19" s="303"/>
      <c r="AD19" s="302"/>
    </row>
    <row r="20" spans="2:30" ht="23.35" customHeight="1" thickBot="1" x14ac:dyDescent="0.5"/>
    <row r="21" spans="2:30" ht="23.35" customHeight="1" x14ac:dyDescent="0.45">
      <c r="B21" s="301"/>
      <c r="C21" s="300"/>
      <c r="D21" s="300"/>
      <c r="E21" s="300"/>
      <c r="F21" s="300"/>
      <c r="G21" s="300"/>
      <c r="H21" s="299"/>
      <c r="L21" s="298"/>
      <c r="M21" s="297"/>
      <c r="N21" s="297"/>
      <c r="O21" s="297"/>
      <c r="P21" s="296"/>
      <c r="V21" s="295"/>
      <c r="W21" s="294"/>
      <c r="X21" s="294"/>
      <c r="Y21" s="294"/>
      <c r="Z21" s="293"/>
    </row>
    <row r="22" spans="2:30" ht="23.35" customHeight="1" x14ac:dyDescent="0.45">
      <c r="B22" s="277"/>
      <c r="C22" s="276"/>
      <c r="D22" s="276"/>
      <c r="E22" s="276"/>
      <c r="F22" s="276"/>
      <c r="G22" s="276"/>
      <c r="H22" s="275"/>
      <c r="L22" s="291"/>
      <c r="M22" s="289"/>
      <c r="N22" s="289"/>
      <c r="O22" s="289"/>
      <c r="P22" s="288"/>
      <c r="V22" s="287"/>
      <c r="W22" s="285"/>
      <c r="X22" s="285"/>
      <c r="Y22" s="285"/>
      <c r="Z22" s="284"/>
    </row>
    <row r="23" spans="2:30" ht="23.35" customHeight="1" x14ac:dyDescent="0.45">
      <c r="B23" s="277"/>
      <c r="C23" s="276"/>
      <c r="D23" s="276"/>
      <c r="E23" s="276"/>
      <c r="F23" s="276"/>
      <c r="G23" s="276"/>
      <c r="H23" s="275"/>
      <c r="L23" s="291"/>
      <c r="M23" s="289"/>
      <c r="N23" s="290" t="s">
        <v>151</v>
      </c>
      <c r="O23" s="289"/>
      <c r="P23" s="288"/>
      <c r="V23" s="287"/>
      <c r="W23" s="285"/>
      <c r="X23" s="286" t="s">
        <v>335</v>
      </c>
      <c r="Y23" s="285"/>
      <c r="Z23" s="284"/>
    </row>
    <row r="24" spans="2:30" ht="23.35" customHeight="1" x14ac:dyDescent="0.45">
      <c r="B24" s="277"/>
      <c r="C24" s="276"/>
      <c r="D24" s="276"/>
      <c r="E24" s="292" t="s">
        <v>336</v>
      </c>
      <c r="F24" s="276"/>
      <c r="G24" s="276"/>
      <c r="H24" s="275"/>
      <c r="L24" s="291"/>
      <c r="M24" s="289"/>
      <c r="N24" s="290"/>
      <c r="O24" s="289"/>
      <c r="P24" s="288"/>
      <c r="V24" s="287"/>
      <c r="W24" s="285"/>
      <c r="X24" s="286"/>
      <c r="Y24" s="285"/>
      <c r="Z24" s="284"/>
    </row>
    <row r="25" spans="2:30" ht="23.35" customHeight="1" thickBot="1" x14ac:dyDescent="0.5">
      <c r="B25" s="277"/>
      <c r="C25" s="276"/>
      <c r="D25" s="276"/>
      <c r="E25" s="276"/>
      <c r="F25" s="276"/>
      <c r="G25" s="276"/>
      <c r="H25" s="275"/>
      <c r="L25" s="283"/>
      <c r="M25" s="282"/>
      <c r="N25" s="282"/>
      <c r="O25" s="282"/>
      <c r="P25" s="281"/>
      <c r="V25" s="280"/>
      <c r="W25" s="279"/>
      <c r="X25" s="279"/>
      <c r="Y25" s="279"/>
      <c r="Z25" s="278"/>
    </row>
    <row r="26" spans="2:30" ht="23.35" customHeight="1" x14ac:dyDescent="0.45">
      <c r="B26" s="277"/>
      <c r="C26" s="276"/>
      <c r="D26" s="276"/>
      <c r="E26" s="276"/>
      <c r="F26" s="276"/>
      <c r="G26" s="276"/>
      <c r="H26" s="275"/>
    </row>
    <row r="27" spans="2:30" ht="23.35" customHeight="1" thickBot="1" x14ac:dyDescent="0.5">
      <c r="B27" s="274"/>
      <c r="C27" s="273"/>
      <c r="D27" s="273"/>
      <c r="E27" s="273"/>
      <c r="F27" s="273"/>
      <c r="G27" s="273"/>
      <c r="H27" s="272"/>
    </row>
    <row r="28" spans="2:30" ht="23.35" customHeight="1" thickBot="1" x14ac:dyDescent="0.5"/>
    <row r="29" spans="2:30" ht="23.35" customHeight="1" thickBot="1" x14ac:dyDescent="0.5">
      <c r="D29" s="266"/>
      <c r="E29" s="271"/>
      <c r="F29" s="265"/>
      <c r="M29" s="268"/>
      <c r="N29" s="270"/>
      <c r="O29" s="267"/>
      <c r="S29" s="269"/>
      <c r="T29" s="127" t="s">
        <v>953</v>
      </c>
    </row>
    <row r="30" spans="2:30" ht="23.35" customHeight="1" thickBot="1" x14ac:dyDescent="0.5">
      <c r="C30" s="266"/>
      <c r="D30" s="254"/>
      <c r="E30" s="254"/>
      <c r="F30" s="254"/>
      <c r="G30" s="265"/>
      <c r="L30" s="268"/>
      <c r="M30" s="258"/>
      <c r="N30" s="258"/>
      <c r="O30" s="258"/>
      <c r="P30" s="267"/>
    </row>
    <row r="31" spans="2:30" ht="23.35" customHeight="1" thickBot="1" x14ac:dyDescent="0.5">
      <c r="B31" s="266"/>
      <c r="C31" s="254"/>
      <c r="D31" s="254"/>
      <c r="E31" s="254"/>
      <c r="F31" s="254"/>
      <c r="G31" s="254"/>
      <c r="H31" s="265"/>
      <c r="L31" s="264"/>
      <c r="M31" s="258"/>
      <c r="N31" s="263" t="s">
        <v>333</v>
      </c>
      <c r="O31" s="258"/>
      <c r="P31" s="262"/>
      <c r="S31" s="335"/>
      <c r="T31" s="127" t="s">
        <v>58</v>
      </c>
    </row>
    <row r="32" spans="2:30" ht="23.35" customHeight="1" thickBot="1" x14ac:dyDescent="0.5">
      <c r="B32" s="261"/>
      <c r="C32" s="254"/>
      <c r="D32" s="254"/>
      <c r="E32" s="260" t="s">
        <v>334</v>
      </c>
      <c r="F32" s="254"/>
      <c r="G32" s="254"/>
      <c r="H32" s="259"/>
      <c r="L32" s="257"/>
      <c r="M32" s="258"/>
      <c r="N32" s="258"/>
      <c r="O32" s="258"/>
      <c r="P32" s="255"/>
    </row>
    <row r="33" spans="1:19" ht="23.35" customHeight="1" thickBot="1" x14ac:dyDescent="0.5">
      <c r="B33" s="253"/>
      <c r="C33" s="254"/>
      <c r="D33" s="254"/>
      <c r="E33" s="254"/>
      <c r="F33" s="254"/>
      <c r="G33" s="254"/>
      <c r="H33" s="251"/>
      <c r="M33" s="257"/>
      <c r="N33" s="256"/>
      <c r="O33" s="255"/>
    </row>
    <row r="34" spans="1:19" ht="23.35" customHeight="1" thickBot="1" x14ac:dyDescent="0.5">
      <c r="C34" s="253"/>
      <c r="D34" s="254"/>
      <c r="E34" s="254"/>
      <c r="F34" s="254"/>
      <c r="G34" s="251"/>
    </row>
    <row r="35" spans="1:19" ht="23.35" customHeight="1" thickBot="1" x14ac:dyDescent="0.5">
      <c r="D35" s="253"/>
      <c r="E35" s="252"/>
      <c r="F35" s="251"/>
    </row>
    <row r="36" spans="1:19" ht="23.35" customHeight="1" x14ac:dyDescent="0.45"/>
    <row r="37" spans="1:19" ht="23.35" customHeight="1" x14ac:dyDescent="0.45"/>
    <row r="38" spans="1:19" ht="23.35" customHeight="1" thickBot="1" x14ac:dyDescent="0.5"/>
    <row r="39" spans="1:19" ht="23.35" customHeight="1" thickBot="1" x14ac:dyDescent="0.65">
      <c r="A39" s="6" t="s">
        <v>952</v>
      </c>
      <c r="E39" s="269"/>
      <c r="F39" s="127" t="s">
        <v>953</v>
      </c>
    </row>
    <row r="40" spans="1:19" ht="23.35" customHeight="1" thickTop="1" thickBot="1" x14ac:dyDescent="0.5">
      <c r="A40" s="13" t="s">
        <v>943</v>
      </c>
    </row>
    <row r="41" spans="1:19" ht="23.35" customHeight="1" x14ac:dyDescent="0.45">
      <c r="A41" s="219">
        <f>COUNTBLANK(E41:L48)</f>
        <v>52</v>
      </c>
      <c r="D41" s="246"/>
      <c r="E41" s="215"/>
      <c r="F41" s="218"/>
      <c r="G41" s="218"/>
      <c r="H41" s="218"/>
      <c r="I41" s="218"/>
      <c r="J41" s="218"/>
      <c r="K41" s="218"/>
      <c r="L41" s="214"/>
      <c r="M41" s="246"/>
      <c r="S41" s="246"/>
    </row>
    <row r="42" spans="1:19" ht="23.35" customHeight="1" x14ac:dyDescent="0.45">
      <c r="D42" s="246"/>
      <c r="E42" s="206"/>
      <c r="F42" s="205"/>
      <c r="G42" s="209" t="s">
        <v>938</v>
      </c>
      <c r="H42" s="205"/>
      <c r="I42" s="205"/>
      <c r="J42" s="205"/>
      <c r="K42" s="208" t="s">
        <v>937</v>
      </c>
      <c r="L42" s="204"/>
      <c r="M42" s="234"/>
    </row>
    <row r="43" spans="1:19" ht="23.35" customHeight="1" x14ac:dyDescent="0.45">
      <c r="A43" s="13" t="s">
        <v>942</v>
      </c>
      <c r="D43" s="246"/>
      <c r="E43" s="206"/>
      <c r="F43" s="208" t="s">
        <v>937</v>
      </c>
      <c r="G43" s="205"/>
      <c r="H43" s="205"/>
      <c r="I43" s="205"/>
      <c r="J43" s="205"/>
      <c r="K43" s="205"/>
      <c r="L43" s="250" t="s">
        <v>938</v>
      </c>
      <c r="M43" s="222" t="s">
        <v>936</v>
      </c>
    </row>
    <row r="44" spans="1:19" ht="23.35" customHeight="1" x14ac:dyDescent="0.45">
      <c r="A44" s="211">
        <f>A41/COUNTIFS(E41:L48,"MD")</f>
        <v>13</v>
      </c>
      <c r="D44" s="246"/>
      <c r="E44" s="206"/>
      <c r="F44" s="205"/>
      <c r="G44" s="205"/>
      <c r="H44" s="245" t="s">
        <v>936</v>
      </c>
      <c r="I44" s="213" t="s">
        <v>941</v>
      </c>
      <c r="J44" s="205"/>
      <c r="K44" s="205"/>
      <c r="L44" s="204"/>
    </row>
    <row r="45" spans="1:19" ht="23.35" customHeight="1" x14ac:dyDescent="0.45">
      <c r="D45" s="246"/>
      <c r="E45" s="206"/>
      <c r="F45" s="205"/>
      <c r="G45" s="205"/>
      <c r="H45" s="212" t="s">
        <v>940</v>
      </c>
      <c r="I45" s="210" t="s">
        <v>939</v>
      </c>
      <c r="J45" s="205"/>
      <c r="K45" s="205"/>
      <c r="L45" s="204"/>
      <c r="M45" s="234"/>
    </row>
    <row r="46" spans="1:19" ht="23.35" customHeight="1" x14ac:dyDescent="0.45">
      <c r="D46" s="246"/>
      <c r="E46" s="206"/>
      <c r="F46" s="205"/>
      <c r="G46" s="205"/>
      <c r="H46" s="205"/>
      <c r="I46" s="205"/>
      <c r="J46" s="205"/>
      <c r="K46" s="205"/>
      <c r="L46" s="204"/>
      <c r="M46" s="246"/>
    </row>
    <row r="47" spans="1:19" ht="23.35" customHeight="1" x14ac:dyDescent="0.45">
      <c r="D47" s="246"/>
      <c r="E47" s="206"/>
      <c r="F47" s="209" t="s">
        <v>938</v>
      </c>
      <c r="G47" s="205"/>
      <c r="H47" s="205"/>
      <c r="I47" s="205"/>
      <c r="J47" s="205"/>
      <c r="K47" s="205"/>
      <c r="L47" s="249" t="s">
        <v>937</v>
      </c>
      <c r="M47" s="246"/>
    </row>
    <row r="48" spans="1:19" ht="23.35" customHeight="1" thickBot="1" x14ac:dyDescent="0.5">
      <c r="D48" s="234"/>
      <c r="E48" s="202"/>
      <c r="F48" s="201"/>
      <c r="G48" s="248" t="s">
        <v>937</v>
      </c>
      <c r="H48" s="201"/>
      <c r="I48" s="201"/>
      <c r="J48" s="201"/>
      <c r="K48" s="247" t="s">
        <v>938</v>
      </c>
      <c r="L48" s="200"/>
    </row>
    <row r="49" spans="1:20" ht="23.35" customHeight="1" x14ac:dyDescent="0.45">
      <c r="D49" s="246"/>
      <c r="E49" s="246"/>
      <c r="F49" s="246"/>
      <c r="G49" s="246"/>
      <c r="H49" s="221" t="s">
        <v>936</v>
      </c>
      <c r="J49" s="221" t="s">
        <v>936</v>
      </c>
      <c r="K49" s="246"/>
      <c r="L49" s="246"/>
      <c r="M49" s="246"/>
    </row>
    <row r="50" spans="1:20" ht="23.35" customHeight="1" x14ac:dyDescent="0.45"/>
    <row r="51" spans="1:20" ht="23.35" customHeight="1" thickBot="1" x14ac:dyDescent="0.65">
      <c r="A51" s="6" t="s">
        <v>951</v>
      </c>
      <c r="K51" s="245" t="s">
        <v>936</v>
      </c>
      <c r="L51" s="244"/>
    </row>
    <row r="52" spans="1:20" ht="23.35" customHeight="1" thickTop="1" x14ac:dyDescent="0.45">
      <c r="A52" s="13" t="s">
        <v>943</v>
      </c>
      <c r="E52" s="215"/>
      <c r="F52" s="218"/>
      <c r="G52" s="218"/>
      <c r="H52" s="218"/>
      <c r="I52" s="218"/>
      <c r="J52" s="218"/>
      <c r="K52" s="218"/>
      <c r="L52" s="243" t="s">
        <v>937</v>
      </c>
      <c r="M52" s="240"/>
    </row>
    <row r="53" spans="1:20" ht="23.35" customHeight="1" x14ac:dyDescent="0.45">
      <c r="A53" s="219">
        <f>COUNTBLANK(E52:L56)+COUNTBLANK(H57:L59)</f>
        <v>46</v>
      </c>
      <c r="E53" s="206"/>
      <c r="F53" s="205"/>
      <c r="G53" s="205"/>
      <c r="H53" s="205"/>
      <c r="I53" s="205"/>
      <c r="J53" s="205"/>
      <c r="K53" s="209" t="s">
        <v>938</v>
      </c>
      <c r="L53" s="205"/>
      <c r="M53" s="242" t="s">
        <v>936</v>
      </c>
    </row>
    <row r="54" spans="1:20" ht="23.35" customHeight="1" x14ac:dyDescent="0.45">
      <c r="D54" s="220" t="s">
        <v>936</v>
      </c>
      <c r="E54" s="206"/>
      <c r="F54" s="209" t="s">
        <v>938</v>
      </c>
      <c r="G54" s="241" t="s">
        <v>937</v>
      </c>
      <c r="H54" s="205"/>
      <c r="I54" s="205"/>
      <c r="J54" s="205"/>
      <c r="K54" s="205"/>
      <c r="L54" s="205"/>
      <c r="M54" s="240"/>
    </row>
    <row r="55" spans="1:20" ht="23.35" customHeight="1" x14ac:dyDescent="0.45">
      <c r="A55" s="13" t="s">
        <v>942</v>
      </c>
      <c r="E55" s="206"/>
      <c r="F55" s="205"/>
      <c r="G55" s="205"/>
      <c r="H55" s="213" t="s">
        <v>941</v>
      </c>
      <c r="I55" s="212" t="s">
        <v>940</v>
      </c>
      <c r="J55" s="205"/>
      <c r="K55" s="205"/>
      <c r="L55" s="205"/>
      <c r="M55" s="240"/>
    </row>
    <row r="56" spans="1:20" ht="23.35" customHeight="1" thickBot="1" x14ac:dyDescent="0.5">
      <c r="A56" s="211">
        <f>A53/COUNTIFS(D52:L60,"MD")</f>
        <v>15.333333333333334</v>
      </c>
      <c r="E56" s="202"/>
      <c r="F56" s="201"/>
      <c r="G56" s="201"/>
      <c r="H56" s="205"/>
      <c r="I56" s="210" t="s">
        <v>939</v>
      </c>
      <c r="J56" s="205"/>
      <c r="K56" s="205"/>
      <c r="L56" s="205"/>
      <c r="M56" s="240"/>
    </row>
    <row r="57" spans="1:20" ht="23.35" customHeight="1" x14ac:dyDescent="0.45">
      <c r="G57" s="207" t="s">
        <v>936</v>
      </c>
      <c r="H57" s="206"/>
      <c r="I57" s="205"/>
      <c r="J57" s="241" t="s">
        <v>937</v>
      </c>
      <c r="K57" s="205"/>
      <c r="L57" s="205"/>
      <c r="M57" s="240"/>
    </row>
    <row r="58" spans="1:20" ht="23.35" customHeight="1" x14ac:dyDescent="0.45">
      <c r="H58" s="206"/>
      <c r="I58" s="205"/>
      <c r="J58" s="230" t="s">
        <v>938</v>
      </c>
      <c r="K58" s="205"/>
      <c r="L58" s="205"/>
      <c r="M58" s="240"/>
    </row>
    <row r="59" spans="1:20" ht="23.35" customHeight="1" thickBot="1" x14ac:dyDescent="0.5">
      <c r="H59" s="202"/>
      <c r="I59" s="201"/>
      <c r="J59" s="201"/>
      <c r="K59" s="201"/>
      <c r="L59" s="201"/>
      <c r="M59" s="240"/>
    </row>
    <row r="60" spans="1:20" ht="23.35" customHeight="1" x14ac:dyDescent="0.45">
      <c r="J60" s="221" t="s">
        <v>936</v>
      </c>
    </row>
    <row r="61" spans="1:20" ht="23.35" customHeight="1" x14ac:dyDescent="0.45"/>
    <row r="62" spans="1:20" ht="23.35" customHeight="1" x14ac:dyDescent="0.45"/>
    <row r="63" spans="1:20" ht="23.35" customHeight="1" x14ac:dyDescent="0.45"/>
    <row r="64" spans="1:20" ht="23.35" customHeight="1" thickBot="1" x14ac:dyDescent="0.65">
      <c r="A64" s="6" t="s">
        <v>950</v>
      </c>
      <c r="T64" s="6" t="s">
        <v>949</v>
      </c>
    </row>
    <row r="65" spans="1:30" ht="23.35" customHeight="1" thickTop="1" x14ac:dyDescent="0.45">
      <c r="A65" s="13" t="s">
        <v>943</v>
      </c>
      <c r="K65" s="239" t="s">
        <v>948</v>
      </c>
    </row>
    <row r="66" spans="1:30" ht="23.35" customHeight="1" thickBot="1" x14ac:dyDescent="0.5">
      <c r="A66" s="219">
        <f>COUNTBLANK(E67:I75)</f>
        <v>39</v>
      </c>
      <c r="D66" s="124"/>
      <c r="E66" s="124"/>
      <c r="F66" s="124"/>
      <c r="G66" s="233" t="s">
        <v>938</v>
      </c>
      <c r="H66" s="124"/>
      <c r="I66" s="124"/>
      <c r="J66" s="124"/>
      <c r="K66" s="124"/>
      <c r="L66" s="124"/>
      <c r="M66" s="233" t="s">
        <v>938</v>
      </c>
      <c r="N66" s="124"/>
      <c r="O66" s="124"/>
      <c r="P66" s="124"/>
      <c r="T66" s="124"/>
      <c r="U66" s="124"/>
      <c r="V66" s="223" t="s">
        <v>936</v>
      </c>
      <c r="X66" s="124"/>
      <c r="Y66" s="233" t="s">
        <v>938</v>
      </c>
      <c r="Z66" s="124"/>
      <c r="AA66" s="124"/>
      <c r="AB66" s="223" t="s">
        <v>936</v>
      </c>
      <c r="AC66" s="124"/>
      <c r="AD66" s="124"/>
    </row>
    <row r="67" spans="1:30" ht="23.35" customHeight="1" x14ac:dyDescent="0.45">
      <c r="D67" s="124"/>
      <c r="E67" s="215"/>
      <c r="F67" s="218"/>
      <c r="G67" s="218"/>
      <c r="H67" s="218"/>
      <c r="I67" s="214"/>
      <c r="J67" s="124"/>
      <c r="K67" s="215"/>
      <c r="L67" s="218"/>
      <c r="M67" s="218"/>
      <c r="N67" s="218"/>
      <c r="O67" s="214"/>
      <c r="P67" s="124"/>
      <c r="T67" s="124"/>
      <c r="U67" s="215"/>
      <c r="V67" s="218"/>
      <c r="W67" s="218"/>
      <c r="X67" s="218"/>
      <c r="Y67" s="218"/>
      <c r="Z67" s="218"/>
      <c r="AA67" s="218"/>
      <c r="AB67" s="218"/>
      <c r="AC67" s="214"/>
      <c r="AD67" s="124"/>
    </row>
    <row r="68" spans="1:30" ht="23.35" customHeight="1" x14ac:dyDescent="0.45">
      <c r="A68" s="13" t="s">
        <v>942</v>
      </c>
      <c r="D68" s="220" t="s">
        <v>936</v>
      </c>
      <c r="E68" s="206"/>
      <c r="F68" s="205"/>
      <c r="G68" s="205"/>
      <c r="H68" s="205"/>
      <c r="I68" s="204"/>
      <c r="J68" s="235" t="s">
        <v>936</v>
      </c>
      <c r="K68" s="206"/>
      <c r="L68" s="205"/>
      <c r="M68" s="205"/>
      <c r="N68" s="205"/>
      <c r="O68" s="204"/>
      <c r="P68" s="222" t="s">
        <v>936</v>
      </c>
      <c r="T68" s="124"/>
      <c r="U68" s="206"/>
      <c r="V68" s="205"/>
      <c r="W68" s="205"/>
      <c r="X68" s="205"/>
      <c r="Y68" s="213" t="s">
        <v>941</v>
      </c>
      <c r="Z68" s="205"/>
      <c r="AA68" s="205"/>
      <c r="AB68" s="205"/>
      <c r="AC68" s="204"/>
      <c r="AD68" s="124"/>
    </row>
    <row r="69" spans="1:30" ht="23.35" customHeight="1" x14ac:dyDescent="0.45">
      <c r="A69" s="211">
        <f>A66/COUNTIFS(D66:I76,"MD")</f>
        <v>19.5</v>
      </c>
      <c r="E69" s="206"/>
      <c r="F69" s="205"/>
      <c r="G69" s="208" t="s">
        <v>937</v>
      </c>
      <c r="H69" s="205"/>
      <c r="I69" s="204"/>
      <c r="J69" s="234"/>
      <c r="K69" s="206"/>
      <c r="L69" s="205"/>
      <c r="M69" s="208" t="s">
        <v>937</v>
      </c>
      <c r="N69" s="205"/>
      <c r="O69" s="204"/>
      <c r="T69" s="232" t="s">
        <v>938</v>
      </c>
      <c r="U69" s="206"/>
      <c r="V69" s="205"/>
      <c r="W69" s="208" t="s">
        <v>937</v>
      </c>
      <c r="X69" s="205"/>
      <c r="Y69" s="212" t="s">
        <v>940</v>
      </c>
      <c r="Z69" s="209" t="s">
        <v>938</v>
      </c>
      <c r="AA69" s="208" t="s">
        <v>937</v>
      </c>
      <c r="AB69" s="205"/>
      <c r="AC69" s="204"/>
      <c r="AD69" s="231" t="s">
        <v>938</v>
      </c>
    </row>
    <row r="70" spans="1:30" ht="23.35" customHeight="1" x14ac:dyDescent="0.45">
      <c r="D70" s="124"/>
      <c r="E70" s="206"/>
      <c r="F70" s="205"/>
      <c r="G70" s="205"/>
      <c r="H70" s="205"/>
      <c r="I70" s="204"/>
      <c r="J70" s="124"/>
      <c r="K70" s="206"/>
      <c r="L70" s="205"/>
      <c r="M70" s="205"/>
      <c r="N70" s="205"/>
      <c r="O70" s="204"/>
      <c r="P70" s="124"/>
      <c r="T70" s="124"/>
      <c r="U70" s="206"/>
      <c r="V70" s="205"/>
      <c r="W70" s="205"/>
      <c r="X70" s="205"/>
      <c r="Y70" s="210" t="s">
        <v>939</v>
      </c>
      <c r="Z70" s="205"/>
      <c r="AA70" s="205"/>
      <c r="AB70" s="205"/>
      <c r="AC70" s="204"/>
      <c r="AD70" s="124"/>
    </row>
    <row r="71" spans="1:30" ht="23.35" customHeight="1" thickBot="1" x14ac:dyDescent="0.5">
      <c r="D71" s="232" t="s">
        <v>938</v>
      </c>
      <c r="E71" s="206"/>
      <c r="F71" s="213" t="s">
        <v>941</v>
      </c>
      <c r="G71" s="212" t="s">
        <v>940</v>
      </c>
      <c r="H71" s="210" t="s">
        <v>939</v>
      </c>
      <c r="I71" s="204"/>
      <c r="J71" s="238" t="s">
        <v>938</v>
      </c>
      <c r="K71" s="206"/>
      <c r="L71" s="213" t="s">
        <v>941</v>
      </c>
      <c r="M71" s="212" t="s">
        <v>940</v>
      </c>
      <c r="N71" s="210" t="s">
        <v>939</v>
      </c>
      <c r="O71" s="204"/>
      <c r="P71" s="231" t="s">
        <v>938</v>
      </c>
      <c r="T71" s="124"/>
      <c r="U71" s="202"/>
      <c r="V71" s="201"/>
      <c r="W71" s="201"/>
      <c r="X71" s="201"/>
      <c r="Y71" s="201"/>
      <c r="Z71" s="201"/>
      <c r="AA71" s="201"/>
      <c r="AB71" s="201"/>
      <c r="AC71" s="200"/>
      <c r="AD71" s="124"/>
    </row>
    <row r="72" spans="1:30" ht="23.35" customHeight="1" thickBot="1" x14ac:dyDescent="0.5">
      <c r="D72" s="124"/>
      <c r="E72" s="206"/>
      <c r="F72" s="205"/>
      <c r="G72" s="209" t="s">
        <v>938</v>
      </c>
      <c r="H72" s="205"/>
      <c r="I72" s="204"/>
      <c r="J72" s="124"/>
      <c r="K72" s="206"/>
      <c r="L72" s="205"/>
      <c r="M72" s="209" t="s">
        <v>938</v>
      </c>
      <c r="N72" s="205"/>
      <c r="O72" s="204"/>
      <c r="P72" s="124"/>
      <c r="T72" s="124"/>
      <c r="U72" s="124"/>
      <c r="V72" s="236" t="s">
        <v>936</v>
      </c>
      <c r="W72" s="234"/>
      <c r="X72" s="124"/>
      <c r="Y72" s="237" t="s">
        <v>938</v>
      </c>
      <c r="Z72" s="124"/>
      <c r="AB72" s="236" t="s">
        <v>936</v>
      </c>
      <c r="AC72" s="124"/>
      <c r="AD72" s="124"/>
    </row>
    <row r="73" spans="1:30" ht="23.35" customHeight="1" x14ac:dyDescent="0.45">
      <c r="D73" s="124"/>
      <c r="E73" s="206"/>
      <c r="F73" s="205"/>
      <c r="G73" s="208" t="s">
        <v>937</v>
      </c>
      <c r="H73" s="205"/>
      <c r="I73" s="204"/>
      <c r="K73" s="206"/>
      <c r="L73" s="205"/>
      <c r="M73" s="208" t="s">
        <v>937</v>
      </c>
      <c r="N73" s="205"/>
      <c r="O73" s="204"/>
      <c r="P73" s="234"/>
      <c r="T73" s="124"/>
      <c r="U73" s="215"/>
      <c r="V73" s="218"/>
      <c r="W73" s="218"/>
      <c r="X73" s="218"/>
      <c r="Y73" s="218"/>
      <c r="Z73" s="218"/>
      <c r="AA73" s="218"/>
      <c r="AB73" s="218"/>
      <c r="AC73" s="214"/>
      <c r="AD73" s="124"/>
    </row>
    <row r="74" spans="1:30" ht="23.35" customHeight="1" x14ac:dyDescent="0.45">
      <c r="D74" s="220" t="s">
        <v>936</v>
      </c>
      <c r="E74" s="206"/>
      <c r="F74" s="205"/>
      <c r="G74" s="205"/>
      <c r="H74" s="205"/>
      <c r="I74" s="204"/>
      <c r="J74" s="235" t="s">
        <v>936</v>
      </c>
      <c r="K74" s="206"/>
      <c r="L74" s="205"/>
      <c r="M74" s="205"/>
      <c r="N74" s="205"/>
      <c r="O74" s="204"/>
      <c r="P74" s="222" t="s">
        <v>936</v>
      </c>
      <c r="T74" s="124"/>
      <c r="U74" s="206"/>
      <c r="V74" s="205"/>
      <c r="W74" s="205"/>
      <c r="X74" s="205"/>
      <c r="Y74" s="213" t="s">
        <v>941</v>
      </c>
      <c r="Z74" s="205"/>
      <c r="AA74" s="205"/>
      <c r="AB74" s="205"/>
      <c r="AC74" s="204"/>
      <c r="AD74" s="124"/>
    </row>
    <row r="75" spans="1:30" ht="23.35" customHeight="1" thickBot="1" x14ac:dyDescent="0.5">
      <c r="D75" s="124"/>
      <c r="E75" s="202"/>
      <c r="F75" s="201"/>
      <c r="G75" s="201"/>
      <c r="H75" s="201"/>
      <c r="I75" s="200"/>
      <c r="J75" s="124"/>
      <c r="K75" s="202"/>
      <c r="L75" s="201"/>
      <c r="M75" s="201"/>
      <c r="N75" s="201"/>
      <c r="O75" s="200"/>
      <c r="P75" s="124"/>
      <c r="T75" s="232" t="s">
        <v>938</v>
      </c>
      <c r="U75" s="206"/>
      <c r="V75" s="205"/>
      <c r="W75" s="208" t="s">
        <v>937</v>
      </c>
      <c r="X75" s="205"/>
      <c r="Y75" s="212" t="s">
        <v>940</v>
      </c>
      <c r="Z75" s="209" t="s">
        <v>938</v>
      </c>
      <c r="AA75" s="208" t="s">
        <v>937</v>
      </c>
      <c r="AB75" s="205"/>
      <c r="AC75" s="204"/>
      <c r="AD75" s="231" t="s">
        <v>938</v>
      </c>
    </row>
    <row r="76" spans="1:30" ht="23.35" customHeight="1" x14ac:dyDescent="0.45">
      <c r="D76" s="124"/>
      <c r="E76" s="124"/>
      <c r="F76" s="124"/>
      <c r="G76" s="230" t="s">
        <v>938</v>
      </c>
      <c r="H76" s="124"/>
      <c r="I76" s="124"/>
      <c r="J76" s="124"/>
      <c r="K76" s="124"/>
      <c r="L76" s="124"/>
      <c r="M76" s="230" t="s">
        <v>938</v>
      </c>
      <c r="N76" s="124"/>
      <c r="O76" s="124"/>
      <c r="P76" s="124"/>
      <c r="T76" s="124"/>
      <c r="U76" s="206"/>
      <c r="V76" s="205"/>
      <c r="W76" s="205"/>
      <c r="X76" s="205"/>
      <c r="Y76" s="210" t="s">
        <v>939</v>
      </c>
      <c r="Z76" s="205"/>
      <c r="AA76" s="205"/>
      <c r="AB76" s="205"/>
      <c r="AC76" s="204"/>
      <c r="AD76" s="124"/>
    </row>
    <row r="77" spans="1:30" ht="23.35" customHeight="1" thickBot="1" x14ac:dyDescent="0.5">
      <c r="T77" s="124"/>
      <c r="U77" s="202"/>
      <c r="V77" s="201"/>
      <c r="W77" s="201"/>
      <c r="X77" s="201"/>
      <c r="Y77" s="201"/>
      <c r="Z77" s="201"/>
      <c r="AA77" s="201"/>
      <c r="AB77" s="201"/>
      <c r="AC77" s="200"/>
      <c r="AD77" s="124"/>
    </row>
    <row r="78" spans="1:30" ht="23.35" customHeight="1" x14ac:dyDescent="0.45">
      <c r="T78" s="124"/>
      <c r="U78" s="124"/>
      <c r="V78" s="221" t="s">
        <v>936</v>
      </c>
      <c r="X78" s="124"/>
      <c r="Y78" s="230" t="s">
        <v>938</v>
      </c>
      <c r="Z78" s="124"/>
      <c r="AA78" s="234"/>
      <c r="AB78" s="221" t="s">
        <v>936</v>
      </c>
      <c r="AC78" s="124"/>
      <c r="AD78" s="124"/>
    </row>
    <row r="79" spans="1:30" ht="23.35" customHeight="1" x14ac:dyDescent="0.45"/>
    <row r="80" spans="1:30" ht="23.35" customHeight="1" x14ac:dyDescent="0.45"/>
    <row r="81" spans="1:39" ht="23.35" customHeight="1" thickBot="1" x14ac:dyDescent="0.65">
      <c r="A81" s="6" t="s">
        <v>947</v>
      </c>
    </row>
    <row r="82" spans="1:39" ht="23.35" customHeight="1" thickTop="1" thickBot="1" x14ac:dyDescent="0.5">
      <c r="A82" s="13" t="s">
        <v>943</v>
      </c>
      <c r="F82" s="215"/>
      <c r="G82" s="218"/>
      <c r="H82" s="218"/>
      <c r="I82" s="218"/>
      <c r="J82" s="214"/>
      <c r="X82" s="223" t="s">
        <v>936</v>
      </c>
      <c r="Y82" s="233" t="s">
        <v>938</v>
      </c>
      <c r="Z82" s="223" t="s">
        <v>936</v>
      </c>
    </row>
    <row r="83" spans="1:39" ht="23.35" customHeight="1" x14ac:dyDescent="0.45">
      <c r="A83" s="219">
        <f>COUNTBLANK(F82:J90)</f>
        <v>38</v>
      </c>
      <c r="F83" s="206"/>
      <c r="G83" s="205"/>
      <c r="H83" s="209" t="s">
        <v>938</v>
      </c>
      <c r="I83" s="205"/>
      <c r="J83" s="204"/>
      <c r="U83" s="215"/>
      <c r="V83" s="218"/>
      <c r="W83" s="218"/>
      <c r="X83" s="218"/>
      <c r="Y83" s="228" t="s">
        <v>941</v>
      </c>
      <c r="Z83" s="218"/>
      <c r="AA83" s="218"/>
      <c r="AB83" s="218"/>
      <c r="AC83" s="214"/>
    </row>
    <row r="84" spans="1:39" ht="23.35" customHeight="1" x14ac:dyDescent="0.45">
      <c r="F84" s="206"/>
      <c r="G84" s="205"/>
      <c r="H84" s="208" t="s">
        <v>937</v>
      </c>
      <c r="I84" s="205"/>
      <c r="J84" s="204"/>
      <c r="U84" s="206"/>
      <c r="V84" s="205"/>
      <c r="W84" s="205"/>
      <c r="X84" s="205"/>
      <c r="Y84" s="205"/>
      <c r="Z84" s="205"/>
      <c r="AA84" s="205"/>
      <c r="AB84" s="205"/>
      <c r="AC84" s="204"/>
    </row>
    <row r="85" spans="1:39" ht="23.35" customHeight="1" x14ac:dyDescent="0.45">
      <c r="A85" s="13" t="s">
        <v>942</v>
      </c>
      <c r="E85" s="220" t="s">
        <v>936</v>
      </c>
      <c r="F85" s="206"/>
      <c r="G85" s="205"/>
      <c r="H85" s="205"/>
      <c r="I85" s="205"/>
      <c r="J85" s="204"/>
      <c r="K85" s="222" t="s">
        <v>936</v>
      </c>
      <c r="U85" s="206"/>
      <c r="V85" s="209" t="s">
        <v>938</v>
      </c>
      <c r="W85" s="208" t="s">
        <v>937</v>
      </c>
      <c r="X85" s="205"/>
      <c r="Y85" s="212" t="s">
        <v>940</v>
      </c>
      <c r="Z85" s="205"/>
      <c r="AA85" s="208" t="s">
        <v>937</v>
      </c>
      <c r="AB85" s="209" t="s">
        <v>938</v>
      </c>
      <c r="AC85" s="204"/>
    </row>
    <row r="86" spans="1:39" ht="23.35" customHeight="1" x14ac:dyDescent="0.45">
      <c r="A86" s="211">
        <f>A83/COUNTIFS(F83:J90,"MD")</f>
        <v>19</v>
      </c>
      <c r="E86" s="232" t="s">
        <v>938</v>
      </c>
      <c r="F86" s="225" t="s">
        <v>941</v>
      </c>
      <c r="G86" s="205"/>
      <c r="H86" s="212" t="s">
        <v>940</v>
      </c>
      <c r="I86" s="205"/>
      <c r="J86" s="226" t="s">
        <v>939</v>
      </c>
      <c r="K86" s="231" t="s">
        <v>938</v>
      </c>
      <c r="U86" s="206"/>
      <c r="V86" s="205"/>
      <c r="W86" s="205"/>
      <c r="X86" s="205"/>
      <c r="Y86" s="205"/>
      <c r="Z86" s="205"/>
      <c r="AA86" s="205"/>
      <c r="AB86" s="205"/>
      <c r="AC86" s="204"/>
    </row>
    <row r="87" spans="1:39" ht="23.35" customHeight="1" thickBot="1" x14ac:dyDescent="0.5">
      <c r="E87" s="220" t="s">
        <v>936</v>
      </c>
      <c r="F87" s="206"/>
      <c r="G87" s="205"/>
      <c r="H87" s="205"/>
      <c r="I87" s="205"/>
      <c r="J87" s="204"/>
      <c r="K87" s="222" t="s">
        <v>936</v>
      </c>
      <c r="U87" s="202"/>
      <c r="V87" s="201"/>
      <c r="W87" s="201"/>
      <c r="X87" s="201"/>
      <c r="Y87" s="224" t="s">
        <v>939</v>
      </c>
      <c r="Z87" s="201"/>
      <c r="AA87" s="201"/>
      <c r="AB87" s="201"/>
      <c r="AC87" s="200"/>
    </row>
    <row r="88" spans="1:39" ht="23.35" customHeight="1" x14ac:dyDescent="0.45">
      <c r="F88" s="206"/>
      <c r="G88" s="205"/>
      <c r="H88" s="208" t="s">
        <v>937</v>
      </c>
      <c r="I88" s="205"/>
      <c r="J88" s="204"/>
      <c r="X88" s="221" t="s">
        <v>936</v>
      </c>
      <c r="Y88" s="230" t="s">
        <v>938</v>
      </c>
      <c r="Z88" s="221" t="s">
        <v>936</v>
      </c>
    </row>
    <row r="89" spans="1:39" ht="23.35" customHeight="1" x14ac:dyDescent="0.45">
      <c r="F89" s="206"/>
      <c r="G89" s="205"/>
      <c r="H89" s="209" t="s">
        <v>938</v>
      </c>
      <c r="I89" s="205"/>
      <c r="J89" s="204"/>
    </row>
    <row r="90" spans="1:39" ht="23.35" customHeight="1" thickBot="1" x14ac:dyDescent="0.5">
      <c r="F90" s="202"/>
      <c r="G90" s="201"/>
      <c r="H90" s="201"/>
      <c r="I90" s="201"/>
      <c r="J90" s="200"/>
    </row>
    <row r="91" spans="1:39" ht="23.35" customHeight="1" x14ac:dyDescent="0.45"/>
    <row r="92" spans="1:39" ht="23.35" customHeight="1" thickBot="1" x14ac:dyDescent="0.65">
      <c r="A92" s="6" t="s">
        <v>946</v>
      </c>
    </row>
    <row r="93" spans="1:39" ht="23.35" customHeight="1" thickTop="1" thickBot="1" x14ac:dyDescent="0.5">
      <c r="A93" s="13" t="s">
        <v>943</v>
      </c>
    </row>
    <row r="94" spans="1:39" ht="23.35" customHeight="1" thickBot="1" x14ac:dyDescent="0.5">
      <c r="A94" s="219">
        <f>COUNTBLANK(F94:J101)</f>
        <v>33</v>
      </c>
      <c r="F94" s="215"/>
      <c r="G94" s="218"/>
      <c r="H94" s="218"/>
      <c r="I94" s="218"/>
      <c r="J94" s="214"/>
      <c r="X94" s="223" t="s">
        <v>936</v>
      </c>
      <c r="Y94" s="223" t="s">
        <v>936</v>
      </c>
      <c r="AG94" s="223" t="s">
        <v>936</v>
      </c>
      <c r="AL94" s="223" t="s">
        <v>936</v>
      </c>
    </row>
    <row r="95" spans="1:39" ht="23.35" customHeight="1" x14ac:dyDescent="0.45">
      <c r="F95" s="206"/>
      <c r="G95" s="205"/>
      <c r="H95" s="209" t="s">
        <v>938</v>
      </c>
      <c r="I95" s="205"/>
      <c r="J95" s="204"/>
      <c r="U95" s="215"/>
      <c r="V95" s="218"/>
      <c r="W95" s="218"/>
      <c r="X95" s="229" t="s">
        <v>940</v>
      </c>
      <c r="Y95" s="228" t="s">
        <v>941</v>
      </c>
      <c r="Z95" s="218"/>
      <c r="AA95" s="218"/>
      <c r="AB95" s="214"/>
      <c r="AF95" s="215"/>
      <c r="AG95" s="218"/>
      <c r="AH95" s="218"/>
      <c r="AI95" s="229" t="s">
        <v>940</v>
      </c>
      <c r="AJ95" s="228" t="s">
        <v>941</v>
      </c>
      <c r="AK95" s="218"/>
      <c r="AL95" s="218"/>
      <c r="AM95" s="214"/>
    </row>
    <row r="96" spans="1:39" ht="23.35" customHeight="1" x14ac:dyDescent="0.45">
      <c r="A96" s="13" t="s">
        <v>942</v>
      </c>
      <c r="F96" s="206"/>
      <c r="G96" s="205"/>
      <c r="H96" s="208" t="s">
        <v>937</v>
      </c>
      <c r="I96" s="205"/>
      <c r="J96" s="204"/>
      <c r="U96" s="206"/>
      <c r="V96" s="205"/>
      <c r="W96" s="205"/>
      <c r="X96" s="205"/>
      <c r="Y96" s="205"/>
      <c r="Z96" s="205"/>
      <c r="AA96" s="205"/>
      <c r="AB96" s="204"/>
      <c r="AF96" s="206"/>
      <c r="AG96" s="205"/>
      <c r="AH96" s="205"/>
      <c r="AI96" s="205"/>
      <c r="AJ96" s="205"/>
      <c r="AK96" s="205"/>
      <c r="AL96" s="205"/>
      <c r="AM96" s="204"/>
    </row>
    <row r="97" spans="1:39" ht="23.35" customHeight="1" x14ac:dyDescent="0.45">
      <c r="A97" s="211">
        <f>A94/COUNTIFS(F94:J101,"MD")</f>
        <v>16.5</v>
      </c>
      <c r="E97" s="220" t="s">
        <v>936</v>
      </c>
      <c r="F97" s="227" t="s">
        <v>940</v>
      </c>
      <c r="G97" s="205"/>
      <c r="H97" s="205"/>
      <c r="I97" s="205"/>
      <c r="J97" s="226" t="s">
        <v>939</v>
      </c>
      <c r="K97" s="222" t="s">
        <v>936</v>
      </c>
      <c r="U97" s="206"/>
      <c r="V97" s="209" t="s">
        <v>938</v>
      </c>
      <c r="W97" s="208" t="s">
        <v>937</v>
      </c>
      <c r="X97" s="205"/>
      <c r="Y97" s="205"/>
      <c r="Z97" s="208" t="s">
        <v>937</v>
      </c>
      <c r="AA97" s="209" t="s">
        <v>938</v>
      </c>
      <c r="AB97" s="204"/>
      <c r="AF97" s="206"/>
      <c r="AG97" s="209" t="s">
        <v>938</v>
      </c>
      <c r="AH97" s="208" t="s">
        <v>937</v>
      </c>
      <c r="AI97" s="205"/>
      <c r="AJ97" s="205"/>
      <c r="AK97" s="208" t="s">
        <v>937</v>
      </c>
      <c r="AL97" s="209" t="s">
        <v>938</v>
      </c>
      <c r="AM97" s="204"/>
    </row>
    <row r="98" spans="1:39" ht="23.35" customHeight="1" x14ac:dyDescent="0.45">
      <c r="E98" s="220" t="s">
        <v>936</v>
      </c>
      <c r="F98" s="225" t="s">
        <v>941</v>
      </c>
      <c r="G98" s="205"/>
      <c r="H98" s="205"/>
      <c r="I98" s="205"/>
      <c r="J98" s="204"/>
      <c r="K98" s="222" t="s">
        <v>936</v>
      </c>
      <c r="U98" s="206"/>
      <c r="V98" s="205"/>
      <c r="W98" s="205"/>
      <c r="X98" s="205"/>
      <c r="Y98" s="205"/>
      <c r="Z98" s="205"/>
      <c r="AA98" s="205"/>
      <c r="AB98" s="204"/>
      <c r="AF98" s="206"/>
      <c r="AG98" s="205"/>
      <c r="AH98" s="205"/>
      <c r="AI98" s="205"/>
      <c r="AJ98" s="205"/>
      <c r="AK98" s="205"/>
      <c r="AL98" s="205"/>
      <c r="AM98" s="204"/>
    </row>
    <row r="99" spans="1:39" ht="23.35" customHeight="1" thickBot="1" x14ac:dyDescent="0.5">
      <c r="F99" s="206"/>
      <c r="G99" s="205"/>
      <c r="H99" s="208" t="s">
        <v>937</v>
      </c>
      <c r="I99" s="205"/>
      <c r="J99" s="204"/>
      <c r="U99" s="202"/>
      <c r="V99" s="201"/>
      <c r="W99" s="201"/>
      <c r="X99" s="224" t="s">
        <v>939</v>
      </c>
      <c r="Y99" s="201"/>
      <c r="Z99" s="201"/>
      <c r="AA99" s="201"/>
      <c r="AB99" s="200"/>
      <c r="AF99" s="202"/>
      <c r="AG99" s="201"/>
      <c r="AH99" s="201"/>
      <c r="AI99" s="224" t="s">
        <v>939</v>
      </c>
      <c r="AJ99" s="201"/>
      <c r="AK99" s="201"/>
      <c r="AL99" s="201"/>
      <c r="AM99" s="200"/>
    </row>
    <row r="100" spans="1:39" ht="23.35" customHeight="1" x14ac:dyDescent="0.45">
      <c r="F100" s="206"/>
      <c r="G100" s="205"/>
      <c r="H100" s="209" t="s">
        <v>938</v>
      </c>
      <c r="I100" s="205"/>
      <c r="J100" s="204"/>
      <c r="X100" s="221" t="s">
        <v>936</v>
      </c>
      <c r="Y100" s="221" t="s">
        <v>936</v>
      </c>
      <c r="AG100" s="221" t="s">
        <v>936</v>
      </c>
      <c r="AL100" s="221" t="s">
        <v>936</v>
      </c>
    </row>
    <row r="101" spans="1:39" ht="23.35" customHeight="1" thickBot="1" x14ac:dyDescent="0.5">
      <c r="F101" s="202"/>
      <c r="G101" s="201"/>
      <c r="H101" s="201"/>
      <c r="I101" s="201"/>
      <c r="J101" s="200"/>
    </row>
    <row r="102" spans="1:39" ht="23.35" customHeight="1" x14ac:dyDescent="0.45"/>
    <row r="103" spans="1:39" ht="23.35" customHeight="1" x14ac:dyDescent="0.45"/>
    <row r="104" spans="1:39" ht="23.35" customHeight="1" thickBot="1" x14ac:dyDescent="0.65">
      <c r="A104" s="6" t="s">
        <v>945</v>
      </c>
    </row>
    <row r="105" spans="1:39" ht="23.35" customHeight="1" thickTop="1" thickBot="1" x14ac:dyDescent="0.5">
      <c r="A105" s="13" t="s">
        <v>943</v>
      </c>
      <c r="E105" s="217" t="s">
        <v>936</v>
      </c>
      <c r="F105" s="215"/>
      <c r="G105" s="218"/>
      <c r="H105" s="214"/>
      <c r="J105" s="223" t="s">
        <v>936</v>
      </c>
      <c r="W105" s="215"/>
      <c r="X105" s="218"/>
      <c r="Y105" s="218"/>
      <c r="Z105" s="214"/>
    </row>
    <row r="106" spans="1:39" ht="23.35" customHeight="1" thickBot="1" x14ac:dyDescent="0.5">
      <c r="A106" s="219">
        <f>COUNTBLANK(D106:K109)+COUNTBLANK(F105:H105)+COUNTBLANK(G110:I110)</f>
        <v>31</v>
      </c>
      <c r="D106" s="215"/>
      <c r="E106" s="218"/>
      <c r="F106" s="205"/>
      <c r="G106" s="205"/>
      <c r="H106" s="205"/>
      <c r="I106" s="218"/>
      <c r="J106" s="218"/>
      <c r="K106" s="214"/>
      <c r="V106" s="217" t="s">
        <v>936</v>
      </c>
      <c r="W106" s="206"/>
      <c r="X106" s="205"/>
      <c r="Y106" s="205"/>
      <c r="Z106" s="204"/>
      <c r="AA106" s="222" t="s">
        <v>936</v>
      </c>
    </row>
    <row r="107" spans="1:39" ht="23.35" customHeight="1" thickBot="1" x14ac:dyDescent="0.5">
      <c r="D107" s="206"/>
      <c r="E107" s="205"/>
      <c r="F107" s="208" t="s">
        <v>937</v>
      </c>
      <c r="G107" s="213" t="s">
        <v>941</v>
      </c>
      <c r="H107" s="212" t="s">
        <v>940</v>
      </c>
      <c r="I107" s="209" t="s">
        <v>938</v>
      </c>
      <c r="J107" s="205"/>
      <c r="K107" s="204"/>
      <c r="V107" s="215"/>
      <c r="W107" s="205"/>
      <c r="X107" s="208" t="s">
        <v>937</v>
      </c>
      <c r="Y107" s="209" t="s">
        <v>938</v>
      </c>
      <c r="Z107" s="204"/>
    </row>
    <row r="108" spans="1:39" ht="23.35" customHeight="1" x14ac:dyDescent="0.45">
      <c r="A108" s="13" t="s">
        <v>942</v>
      </c>
      <c r="D108" s="206"/>
      <c r="E108" s="205"/>
      <c r="F108" s="209" t="s">
        <v>938</v>
      </c>
      <c r="G108" s="210" t="s">
        <v>939</v>
      </c>
      <c r="H108" s="205"/>
      <c r="I108" s="208" t="s">
        <v>937</v>
      </c>
      <c r="J108" s="205"/>
      <c r="K108" s="204"/>
      <c r="V108" s="206"/>
      <c r="W108" s="205"/>
      <c r="X108" s="213" t="s">
        <v>941</v>
      </c>
      <c r="Y108" s="210" t="s">
        <v>939</v>
      </c>
      <c r="Z108" s="205"/>
      <c r="AA108" s="214"/>
    </row>
    <row r="109" spans="1:39" ht="23.35" customHeight="1" thickBot="1" x14ac:dyDescent="0.5">
      <c r="A109" s="211">
        <f>A106/COUNTIFS(D105:K110,"MD")</f>
        <v>15.5</v>
      </c>
      <c r="D109" s="202"/>
      <c r="E109" s="201"/>
      <c r="F109" s="201"/>
      <c r="G109" s="205"/>
      <c r="H109" s="205"/>
      <c r="I109" s="205"/>
      <c r="J109" s="201"/>
      <c r="K109" s="200"/>
      <c r="V109" s="202"/>
      <c r="W109" s="205"/>
      <c r="X109" s="212" t="s">
        <v>940</v>
      </c>
      <c r="Y109" s="205"/>
      <c r="Z109" s="205"/>
      <c r="AA109" s="204"/>
    </row>
    <row r="110" spans="1:39" ht="23.35" customHeight="1" thickBot="1" x14ac:dyDescent="0.5">
      <c r="E110" s="221" t="s">
        <v>936</v>
      </c>
      <c r="G110" s="202"/>
      <c r="H110" s="201"/>
      <c r="I110" s="200"/>
      <c r="J110" s="203" t="s">
        <v>936</v>
      </c>
      <c r="W110" s="206"/>
      <c r="X110" s="209" t="s">
        <v>938</v>
      </c>
      <c r="Y110" s="208" t="s">
        <v>937</v>
      </c>
      <c r="Z110" s="205"/>
      <c r="AA110" s="200"/>
    </row>
    <row r="111" spans="1:39" ht="23.35" customHeight="1" x14ac:dyDescent="0.45">
      <c r="V111" s="220" t="s">
        <v>936</v>
      </c>
      <c r="W111" s="206"/>
      <c r="X111" s="205"/>
      <c r="Y111" s="205"/>
      <c r="Z111" s="204"/>
      <c r="AA111" s="203" t="s">
        <v>936</v>
      </c>
    </row>
    <row r="112" spans="1:39" ht="23.35" customHeight="1" thickBot="1" x14ac:dyDescent="0.5">
      <c r="W112" s="202"/>
      <c r="X112" s="201"/>
      <c r="Y112" s="201"/>
      <c r="Z112" s="200"/>
    </row>
    <row r="113" spans="1:27" ht="23.35" customHeight="1" x14ac:dyDescent="0.45"/>
    <row r="114" spans="1:27" ht="23.35" customHeight="1" thickBot="1" x14ac:dyDescent="0.65">
      <c r="A114" s="6" t="s">
        <v>944</v>
      </c>
    </row>
    <row r="115" spans="1:27" ht="23.35" customHeight="1" thickTop="1" thickBot="1" x14ac:dyDescent="0.5">
      <c r="A115" s="13" t="s">
        <v>943</v>
      </c>
      <c r="F115" s="217" t="s">
        <v>936</v>
      </c>
      <c r="G115" s="215"/>
      <c r="H115" s="218"/>
      <c r="I115" s="214"/>
      <c r="J115" s="216" t="s">
        <v>936</v>
      </c>
      <c r="W115" s="215"/>
      <c r="X115" s="218"/>
      <c r="Y115" s="218"/>
      <c r="Z115" s="214"/>
    </row>
    <row r="116" spans="1:27" ht="23.35" customHeight="1" thickBot="1" x14ac:dyDescent="0.5">
      <c r="A116" s="219">
        <f>COUNTBLANK(E116:K119)+COUNTBLANK(G115:I115)+COUNTBLANK(G120:I120)</f>
        <v>27</v>
      </c>
      <c r="E116" s="215"/>
      <c r="F116" s="218"/>
      <c r="G116" s="205"/>
      <c r="H116" s="213" t="s">
        <v>941</v>
      </c>
      <c r="I116" s="205"/>
      <c r="J116" s="218"/>
      <c r="K116" s="214"/>
      <c r="V116" s="217" t="s">
        <v>936</v>
      </c>
      <c r="W116" s="206"/>
      <c r="X116" s="205"/>
      <c r="Y116" s="205"/>
      <c r="Z116" s="204"/>
      <c r="AA116" s="216" t="s">
        <v>936</v>
      </c>
    </row>
    <row r="117" spans="1:27" ht="23.35" customHeight="1" x14ac:dyDescent="0.45">
      <c r="E117" s="206"/>
      <c r="F117" s="205"/>
      <c r="G117" s="208" t="s">
        <v>937</v>
      </c>
      <c r="H117" s="212" t="s">
        <v>940</v>
      </c>
      <c r="I117" s="209" t="s">
        <v>938</v>
      </c>
      <c r="J117" s="205"/>
      <c r="K117" s="204"/>
      <c r="V117" s="215"/>
      <c r="W117" s="205"/>
      <c r="X117" s="208" t="s">
        <v>937</v>
      </c>
      <c r="Y117" s="209" t="s">
        <v>938</v>
      </c>
      <c r="Z117" s="205"/>
      <c r="AA117" s="214"/>
    </row>
    <row r="118" spans="1:27" ht="23.35" customHeight="1" x14ac:dyDescent="0.45">
      <c r="A118" s="13" t="s">
        <v>942</v>
      </c>
      <c r="E118" s="206"/>
      <c r="F118" s="205"/>
      <c r="G118" s="209" t="s">
        <v>938</v>
      </c>
      <c r="H118" s="205"/>
      <c r="I118" s="208" t="s">
        <v>937</v>
      </c>
      <c r="J118" s="205"/>
      <c r="K118" s="204"/>
      <c r="V118" s="206"/>
      <c r="W118" s="213" t="s">
        <v>941</v>
      </c>
      <c r="X118" s="212" t="s">
        <v>940</v>
      </c>
      <c r="Y118" s="205"/>
      <c r="Z118" s="210" t="s">
        <v>939</v>
      </c>
      <c r="AA118" s="204"/>
    </row>
    <row r="119" spans="1:27" ht="23.35" customHeight="1" thickBot="1" x14ac:dyDescent="0.5">
      <c r="A119" s="211">
        <f>A116/COUNTIFS(E115:K120,"MD")</f>
        <v>13.5</v>
      </c>
      <c r="E119" s="202"/>
      <c r="F119" s="201"/>
      <c r="G119" s="205"/>
      <c r="H119" s="210" t="s">
        <v>939</v>
      </c>
      <c r="I119" s="205"/>
      <c r="J119" s="201"/>
      <c r="K119" s="200"/>
      <c r="V119" s="202"/>
      <c r="W119" s="205"/>
      <c r="X119" s="209" t="s">
        <v>938</v>
      </c>
      <c r="Y119" s="208" t="s">
        <v>937</v>
      </c>
      <c r="Z119" s="205"/>
      <c r="AA119" s="200"/>
    </row>
    <row r="120" spans="1:27" ht="23.35" customHeight="1" thickBot="1" x14ac:dyDescent="0.5">
      <c r="F120" s="207" t="s">
        <v>936</v>
      </c>
      <c r="G120" s="202"/>
      <c r="H120" s="201"/>
      <c r="I120" s="200"/>
      <c r="J120" s="203" t="s">
        <v>936</v>
      </c>
      <c r="V120" s="207" t="s">
        <v>936</v>
      </c>
      <c r="W120" s="206"/>
      <c r="X120" s="205"/>
      <c r="Y120" s="205"/>
      <c r="Z120" s="204"/>
      <c r="AA120" s="203" t="s">
        <v>936</v>
      </c>
    </row>
    <row r="121" spans="1:27" ht="23.35" customHeight="1" thickBot="1" x14ac:dyDescent="0.5">
      <c r="W121" s="202"/>
      <c r="X121" s="201"/>
      <c r="Y121" s="201"/>
      <c r="Z121" s="200"/>
    </row>
    <row r="122" spans="1:27" ht="23.35" customHeight="1" x14ac:dyDescent="0.45"/>
    <row r="123" spans="1:27" ht="23.35" customHeight="1" x14ac:dyDescent="0.45"/>
    <row r="124" spans="1:27" ht="23.35" customHeight="1" thickBot="1" x14ac:dyDescent="0.5"/>
    <row r="125" spans="1:27" ht="23.35" customHeight="1" thickBot="1" x14ac:dyDescent="0.65">
      <c r="A125" s="6" t="s">
        <v>972</v>
      </c>
      <c r="C125" s="335"/>
      <c r="D125" s="127" t="s">
        <v>58</v>
      </c>
      <c r="N125" s="239" t="s">
        <v>948</v>
      </c>
    </row>
    <row r="126" spans="1:27" ht="23.35" customHeight="1" thickTop="1" x14ac:dyDescent="0.45">
      <c r="A126" s="13" t="s">
        <v>973</v>
      </c>
    </row>
    <row r="127" spans="1:27" ht="23.35" customHeight="1" thickBot="1" x14ac:dyDescent="0.5">
      <c r="A127" s="219">
        <f>COUNTBLANK(D128:H132)</f>
        <v>24</v>
      </c>
      <c r="E127" s="336" t="s">
        <v>974</v>
      </c>
      <c r="F127" s="233" t="s">
        <v>938</v>
      </c>
      <c r="G127" s="223" t="s">
        <v>936</v>
      </c>
      <c r="P127" s="336" t="s">
        <v>974</v>
      </c>
      <c r="Q127" s="233" t="s">
        <v>938</v>
      </c>
      <c r="R127" s="223" t="s">
        <v>936</v>
      </c>
      <c r="V127" s="223" t="s">
        <v>936</v>
      </c>
      <c r="W127" s="233" t="s">
        <v>938</v>
      </c>
      <c r="X127" s="336" t="s">
        <v>974</v>
      </c>
    </row>
    <row r="128" spans="1:27" ht="23.35" customHeight="1" x14ac:dyDescent="0.45">
      <c r="D128" s="337"/>
      <c r="E128" s="338"/>
      <c r="F128" s="338"/>
      <c r="G128" s="338"/>
      <c r="H128" s="339"/>
      <c r="O128" s="337"/>
      <c r="P128" s="338"/>
      <c r="Q128" s="338"/>
      <c r="R128" s="338"/>
      <c r="S128" s="339"/>
      <c r="U128" s="337"/>
      <c r="V128" s="338"/>
      <c r="W128" s="338"/>
      <c r="X128" s="338"/>
      <c r="Y128" s="339"/>
    </row>
    <row r="129" spans="1:26" ht="23.35" customHeight="1" x14ac:dyDescent="0.45">
      <c r="D129" s="340"/>
      <c r="E129" s="341"/>
      <c r="F129" s="341"/>
      <c r="G129" s="341"/>
      <c r="H129" s="342"/>
      <c r="I129" s="343" t="s">
        <v>974</v>
      </c>
      <c r="O129" s="340"/>
      <c r="P129" s="341"/>
      <c r="Q129" s="341"/>
      <c r="R129" s="341"/>
      <c r="S129" s="342"/>
      <c r="T129" s="343" t="s">
        <v>974</v>
      </c>
      <c r="U129" s="340"/>
      <c r="V129" s="341"/>
      <c r="W129" s="341"/>
      <c r="X129" s="341"/>
      <c r="Y129" s="342"/>
    </row>
    <row r="130" spans="1:26" ht="23.35" customHeight="1" x14ac:dyDescent="0.45">
      <c r="C130" s="209" t="s">
        <v>938</v>
      </c>
      <c r="D130" s="340"/>
      <c r="E130" s="341"/>
      <c r="F130" s="208" t="s">
        <v>937</v>
      </c>
      <c r="G130" s="341"/>
      <c r="H130" s="342"/>
      <c r="I130" s="231" t="s">
        <v>938</v>
      </c>
      <c r="N130" s="209" t="s">
        <v>938</v>
      </c>
      <c r="O130" s="340"/>
      <c r="P130" s="341"/>
      <c r="Q130" s="208" t="s">
        <v>937</v>
      </c>
      <c r="R130" s="341"/>
      <c r="S130" s="342"/>
      <c r="T130" s="231" t="s">
        <v>938</v>
      </c>
      <c r="U130" s="340"/>
      <c r="V130" s="341"/>
      <c r="W130" s="208" t="s">
        <v>937</v>
      </c>
      <c r="X130" s="341"/>
      <c r="Y130" s="342"/>
      <c r="Z130" s="231" t="s">
        <v>938</v>
      </c>
    </row>
    <row r="131" spans="1:26" ht="23.35" customHeight="1" x14ac:dyDescent="0.45">
      <c r="D131" s="340"/>
      <c r="E131" s="341"/>
      <c r="F131" s="341"/>
      <c r="G131" s="341"/>
      <c r="H131" s="342"/>
      <c r="O131" s="340"/>
      <c r="P131" s="341"/>
      <c r="Q131" s="341"/>
      <c r="R131" s="341"/>
      <c r="S131" s="342"/>
      <c r="U131" s="340"/>
      <c r="V131" s="341"/>
      <c r="W131" s="341"/>
      <c r="X131" s="341"/>
      <c r="Y131" s="342"/>
    </row>
    <row r="132" spans="1:26" ht="23.35" customHeight="1" thickBot="1" x14ac:dyDescent="0.5">
      <c r="D132" s="344"/>
      <c r="E132" s="345"/>
      <c r="F132" s="345"/>
      <c r="G132" s="345"/>
      <c r="H132" s="346"/>
      <c r="O132" s="344"/>
      <c r="P132" s="345"/>
      <c r="Q132" s="345"/>
      <c r="R132" s="345"/>
      <c r="S132" s="346"/>
      <c r="U132" s="344"/>
      <c r="V132" s="345"/>
      <c r="W132" s="345"/>
      <c r="X132" s="345"/>
      <c r="Y132" s="346"/>
    </row>
    <row r="133" spans="1:26" ht="23.35" customHeight="1" x14ac:dyDescent="0.45">
      <c r="E133" s="347" t="s">
        <v>974</v>
      </c>
      <c r="F133" s="209" t="s">
        <v>938</v>
      </c>
      <c r="G133" s="245" t="s">
        <v>936</v>
      </c>
      <c r="P133" s="347" t="s">
        <v>974</v>
      </c>
      <c r="Q133" s="209" t="s">
        <v>938</v>
      </c>
      <c r="R133" s="245" t="s">
        <v>936</v>
      </c>
      <c r="V133" s="245" t="s">
        <v>936</v>
      </c>
      <c r="W133" s="209" t="s">
        <v>938</v>
      </c>
      <c r="X133" s="347" t="s">
        <v>974</v>
      </c>
    </row>
    <row r="134" spans="1:26" ht="23.35" customHeight="1" x14ac:dyDescent="0.45"/>
    <row r="135" spans="1:26" ht="23.35" customHeight="1" x14ac:dyDescent="0.45"/>
    <row r="136" spans="1:26" ht="23.35" customHeight="1" x14ac:dyDescent="0.45"/>
    <row r="137" spans="1:26" ht="23.35" customHeight="1" thickBot="1" x14ac:dyDescent="0.65">
      <c r="A137" s="6" t="s">
        <v>975</v>
      </c>
      <c r="N137" s="239" t="s">
        <v>948</v>
      </c>
    </row>
    <row r="138" spans="1:26" ht="23.35" customHeight="1" thickTop="1" x14ac:dyDescent="0.45">
      <c r="A138" s="13" t="s">
        <v>973</v>
      </c>
    </row>
    <row r="139" spans="1:26" ht="23.35" customHeight="1" x14ac:dyDescent="0.45">
      <c r="A139" s="219">
        <f>COUNTBLANK(D141:H145)</f>
        <v>23</v>
      </c>
    </row>
    <row r="140" spans="1:26" ht="23.35" customHeight="1" thickBot="1" x14ac:dyDescent="0.5">
      <c r="E140" s="336" t="s">
        <v>974</v>
      </c>
      <c r="G140" s="245" t="s">
        <v>936</v>
      </c>
      <c r="O140" s="336" t="s">
        <v>974</v>
      </c>
      <c r="Q140" s="245" t="s">
        <v>936</v>
      </c>
      <c r="U140" s="223" t="s">
        <v>936</v>
      </c>
      <c r="W140" s="336" t="s">
        <v>974</v>
      </c>
    </row>
    <row r="141" spans="1:26" ht="23.35" customHeight="1" x14ac:dyDescent="0.45">
      <c r="D141" s="337"/>
      <c r="E141" s="338"/>
      <c r="F141" s="338"/>
      <c r="G141" s="338"/>
      <c r="H141" s="339"/>
      <c r="N141" s="337"/>
      <c r="O141" s="338"/>
      <c r="P141" s="338"/>
      <c r="Q141" s="338"/>
      <c r="R141" s="339"/>
      <c r="T141" s="337"/>
      <c r="U141" s="338"/>
      <c r="V141" s="338"/>
      <c r="W141" s="338"/>
      <c r="X141" s="339"/>
    </row>
    <row r="142" spans="1:26" ht="23.35" customHeight="1" x14ac:dyDescent="0.45">
      <c r="D142" s="340"/>
      <c r="E142" s="341"/>
      <c r="F142" s="341"/>
      <c r="G142" s="341"/>
      <c r="H142" s="342"/>
      <c r="I142" s="343" t="s">
        <v>974</v>
      </c>
      <c r="N142" s="340"/>
      <c r="O142" s="341"/>
      <c r="P142" s="341"/>
      <c r="Q142" s="341"/>
      <c r="R142" s="342"/>
      <c r="S142" s="343" t="s">
        <v>974</v>
      </c>
      <c r="T142" s="340"/>
      <c r="U142" s="341"/>
      <c r="V142" s="341"/>
      <c r="W142" s="341"/>
      <c r="X142" s="342"/>
    </row>
    <row r="143" spans="1:26" ht="23.35" customHeight="1" x14ac:dyDescent="0.45">
      <c r="D143" s="340"/>
      <c r="E143" s="209" t="s">
        <v>938</v>
      </c>
      <c r="F143" s="208" t="s">
        <v>937</v>
      </c>
      <c r="G143" s="341"/>
      <c r="H143" s="342"/>
      <c r="I143" s="231" t="s">
        <v>938</v>
      </c>
      <c r="N143" s="340"/>
      <c r="O143" s="209" t="s">
        <v>938</v>
      </c>
      <c r="P143" s="208" t="s">
        <v>937</v>
      </c>
      <c r="Q143" s="341"/>
      <c r="R143" s="342"/>
      <c r="S143" s="231" t="s">
        <v>938</v>
      </c>
      <c r="T143" s="340"/>
      <c r="U143" s="341"/>
      <c r="V143" s="208" t="s">
        <v>937</v>
      </c>
      <c r="W143" s="209" t="s">
        <v>938</v>
      </c>
      <c r="X143" s="342"/>
    </row>
    <row r="144" spans="1:26" ht="23.35" customHeight="1" x14ac:dyDescent="0.45">
      <c r="D144" s="340"/>
      <c r="E144" s="341"/>
      <c r="F144" s="341"/>
      <c r="G144" s="341"/>
      <c r="H144" s="342"/>
      <c r="N144" s="340"/>
      <c r="O144" s="341"/>
      <c r="P144" s="341"/>
      <c r="Q144" s="341"/>
      <c r="R144" s="342"/>
      <c r="T144" s="340"/>
      <c r="U144" s="341"/>
      <c r="V144" s="341"/>
      <c r="W144" s="341"/>
      <c r="X144" s="342"/>
    </row>
    <row r="145" spans="1:24" ht="23.35" customHeight="1" thickBot="1" x14ac:dyDescent="0.5">
      <c r="D145" s="344"/>
      <c r="E145" s="345"/>
      <c r="F145" s="345"/>
      <c r="G145" s="345"/>
      <c r="H145" s="346"/>
      <c r="N145" s="344"/>
      <c r="O145" s="345"/>
      <c r="P145" s="345"/>
      <c r="Q145" s="345"/>
      <c r="R145" s="346"/>
      <c r="T145" s="344"/>
      <c r="U145" s="345"/>
      <c r="V145" s="345"/>
      <c r="W145" s="345"/>
      <c r="X145" s="346"/>
    </row>
    <row r="146" spans="1:24" ht="23.35" customHeight="1" x14ac:dyDescent="0.45">
      <c r="E146" s="348" t="s">
        <v>974</v>
      </c>
      <c r="G146" s="245" t="s">
        <v>936</v>
      </c>
      <c r="O146" s="348" t="s">
        <v>974</v>
      </c>
      <c r="Q146" s="245" t="s">
        <v>936</v>
      </c>
      <c r="U146" s="221" t="s">
        <v>936</v>
      </c>
      <c r="W146" s="348" t="s">
        <v>974</v>
      </c>
    </row>
    <row r="147" spans="1:24" ht="23.35" customHeight="1" x14ac:dyDescent="0.45"/>
    <row r="148" spans="1:24" ht="23.35" customHeight="1" x14ac:dyDescent="0.45"/>
    <row r="149" spans="1:24" ht="23.35" customHeight="1" x14ac:dyDescent="0.45"/>
    <row r="150" spans="1:24" ht="23.35" customHeight="1" thickBot="1" x14ac:dyDescent="0.65">
      <c r="A150" s="6" t="s">
        <v>976</v>
      </c>
      <c r="N150" s="239" t="s">
        <v>948</v>
      </c>
    </row>
    <row r="151" spans="1:24" ht="23.35" customHeight="1" thickTop="1" x14ac:dyDescent="0.45">
      <c r="A151" s="13" t="s">
        <v>973</v>
      </c>
    </row>
    <row r="152" spans="1:24" ht="23.35" customHeight="1" x14ac:dyDescent="0.45">
      <c r="A152" s="219">
        <f>COUNTBLANK(D154:H158)</f>
        <v>22</v>
      </c>
    </row>
    <row r="153" spans="1:24" ht="23.35" customHeight="1" thickBot="1" x14ac:dyDescent="0.5">
      <c r="E153" s="336" t="s">
        <v>974</v>
      </c>
      <c r="O153" s="336" t="s">
        <v>974</v>
      </c>
      <c r="W153" s="336" t="s">
        <v>974</v>
      </c>
    </row>
    <row r="154" spans="1:24" ht="23.35" customHeight="1" x14ac:dyDescent="0.45">
      <c r="D154" s="337"/>
      <c r="E154" s="338"/>
      <c r="F154" s="338"/>
      <c r="G154" s="338"/>
      <c r="H154" s="339"/>
      <c r="N154" s="337"/>
      <c r="O154" s="338"/>
      <c r="P154" s="338"/>
      <c r="Q154" s="338"/>
      <c r="R154" s="339"/>
      <c r="T154" s="337"/>
      <c r="U154" s="338"/>
      <c r="V154" s="338"/>
      <c r="W154" s="338"/>
      <c r="X154" s="339"/>
    </row>
    <row r="155" spans="1:24" ht="23.35" customHeight="1" x14ac:dyDescent="0.45">
      <c r="D155" s="340"/>
      <c r="E155" s="341"/>
      <c r="F155" s="341"/>
      <c r="G155" s="341"/>
      <c r="H155" s="342"/>
      <c r="I155" s="343" t="s">
        <v>974</v>
      </c>
      <c r="N155" s="340"/>
      <c r="O155" s="341"/>
      <c r="P155" s="341"/>
      <c r="Q155" s="341"/>
      <c r="R155" s="342"/>
      <c r="S155" s="343" t="s">
        <v>974</v>
      </c>
      <c r="T155" s="340"/>
      <c r="U155" s="341"/>
      <c r="V155" s="341"/>
      <c r="W155" s="341"/>
      <c r="X155" s="342"/>
    </row>
    <row r="156" spans="1:24" ht="23.35" customHeight="1" x14ac:dyDescent="0.45">
      <c r="D156" s="340"/>
      <c r="E156" s="209" t="s">
        <v>938</v>
      </c>
      <c r="F156" s="208" t="s">
        <v>937</v>
      </c>
      <c r="G156" s="245" t="s">
        <v>936</v>
      </c>
      <c r="H156" s="342"/>
      <c r="I156" s="209" t="s">
        <v>938</v>
      </c>
      <c r="N156" s="340"/>
      <c r="O156" s="209" t="s">
        <v>938</v>
      </c>
      <c r="P156" s="208" t="s">
        <v>937</v>
      </c>
      <c r="Q156" s="245" t="s">
        <v>936</v>
      </c>
      <c r="R156" s="342"/>
      <c r="S156" s="209" t="s">
        <v>938</v>
      </c>
      <c r="T156" s="340"/>
      <c r="U156" s="245" t="s">
        <v>936</v>
      </c>
      <c r="V156" s="208" t="s">
        <v>937</v>
      </c>
      <c r="W156" s="209" t="s">
        <v>938</v>
      </c>
      <c r="X156" s="342"/>
    </row>
    <row r="157" spans="1:24" ht="23.35" customHeight="1" x14ac:dyDescent="0.45">
      <c r="D157" s="340"/>
      <c r="E157" s="341"/>
      <c r="F157" s="341"/>
      <c r="G157" s="341"/>
      <c r="H157" s="342"/>
      <c r="N157" s="340"/>
      <c r="O157" s="341"/>
      <c r="P157" s="341"/>
      <c r="Q157" s="341"/>
      <c r="R157" s="342"/>
      <c r="T157" s="340"/>
      <c r="U157" s="341"/>
      <c r="V157" s="341"/>
      <c r="W157" s="341"/>
      <c r="X157" s="342"/>
    </row>
    <row r="158" spans="1:24" ht="23.35" customHeight="1" thickBot="1" x14ac:dyDescent="0.5">
      <c r="D158" s="344"/>
      <c r="E158" s="345"/>
      <c r="F158" s="345"/>
      <c r="G158" s="345"/>
      <c r="H158" s="346"/>
      <c r="N158" s="344"/>
      <c r="O158" s="345"/>
      <c r="P158" s="345"/>
      <c r="Q158" s="345"/>
      <c r="R158" s="346"/>
      <c r="T158" s="344"/>
      <c r="U158" s="345"/>
      <c r="V158" s="345"/>
      <c r="W158" s="345"/>
      <c r="X158" s="346"/>
    </row>
    <row r="159" spans="1:24" ht="23.35" customHeight="1" x14ac:dyDescent="0.45">
      <c r="E159" s="348" t="s">
        <v>974</v>
      </c>
      <c r="O159" s="348" t="s">
        <v>974</v>
      </c>
      <c r="W159" s="336" t="s">
        <v>974</v>
      </c>
    </row>
    <row r="160" spans="1:24" ht="23.35" customHeight="1" x14ac:dyDescent="0.45"/>
    <row r="161" spans="1:25" ht="23.35" customHeight="1" x14ac:dyDescent="0.45"/>
    <row r="162" spans="1:25" ht="23.35" customHeight="1" x14ac:dyDescent="0.45"/>
    <row r="163" spans="1:25" ht="23.35" customHeight="1" thickBot="1" x14ac:dyDescent="0.65">
      <c r="A163" s="6" t="s">
        <v>977</v>
      </c>
      <c r="N163" s="239" t="s">
        <v>948</v>
      </c>
    </row>
    <row r="164" spans="1:25" ht="23.35" customHeight="1" thickTop="1" x14ac:dyDescent="0.45">
      <c r="A164" s="13" t="s">
        <v>973</v>
      </c>
    </row>
    <row r="165" spans="1:25" ht="23.35" customHeight="1" x14ac:dyDescent="0.45">
      <c r="A165" s="219">
        <f>COUNTBLANK(D167:H171)</f>
        <v>21</v>
      </c>
    </row>
    <row r="166" spans="1:25" ht="23.35" customHeight="1" thickBot="1" x14ac:dyDescent="0.5"/>
    <row r="167" spans="1:25" ht="23.35" customHeight="1" x14ac:dyDescent="0.45">
      <c r="D167" s="337"/>
      <c r="E167" s="338"/>
      <c r="F167" s="338"/>
      <c r="G167" s="338"/>
      <c r="H167" s="339"/>
      <c r="N167" s="337"/>
      <c r="O167" s="338"/>
      <c r="P167" s="338"/>
      <c r="Q167" s="338"/>
      <c r="R167" s="339"/>
      <c r="S167" s="337"/>
      <c r="T167" s="338"/>
      <c r="U167" s="338"/>
      <c r="V167" s="338"/>
      <c r="W167" s="339"/>
    </row>
    <row r="168" spans="1:25" ht="23.35" customHeight="1" x14ac:dyDescent="0.45">
      <c r="D168" s="340"/>
      <c r="E168" s="341"/>
      <c r="F168" s="341"/>
      <c r="G168" s="341"/>
      <c r="H168" s="342"/>
      <c r="N168" s="340"/>
      <c r="O168" s="341"/>
      <c r="P168" s="341"/>
      <c r="Q168" s="341"/>
      <c r="R168" s="342"/>
      <c r="S168" s="340"/>
      <c r="T168" s="341"/>
      <c r="U168" s="341"/>
      <c r="V168" s="341"/>
      <c r="W168" s="342"/>
    </row>
    <row r="169" spans="1:25" ht="23.35" customHeight="1" x14ac:dyDescent="0.45">
      <c r="D169" s="349" t="s">
        <v>974</v>
      </c>
      <c r="E169" s="209" t="s">
        <v>938</v>
      </c>
      <c r="F169" s="208" t="s">
        <v>937</v>
      </c>
      <c r="G169" s="245" t="s">
        <v>936</v>
      </c>
      <c r="H169" s="342"/>
      <c r="I169" s="343" t="s">
        <v>974</v>
      </c>
      <c r="J169" s="209" t="s">
        <v>938</v>
      </c>
      <c r="N169" s="349" t="s">
        <v>974</v>
      </c>
      <c r="O169" s="209" t="s">
        <v>938</v>
      </c>
      <c r="P169" s="208" t="s">
        <v>937</v>
      </c>
      <c r="Q169" s="245" t="s">
        <v>936</v>
      </c>
      <c r="R169" s="342"/>
      <c r="S169" s="349" t="s">
        <v>974</v>
      </c>
      <c r="T169" s="209" t="s">
        <v>938</v>
      </c>
      <c r="U169" s="208" t="s">
        <v>937</v>
      </c>
      <c r="V169" s="245" t="s">
        <v>936</v>
      </c>
      <c r="W169" s="342"/>
      <c r="X169" s="343" t="s">
        <v>974</v>
      </c>
      <c r="Y169" s="209" t="s">
        <v>938</v>
      </c>
    </row>
    <row r="170" spans="1:25" ht="23.35" customHeight="1" x14ac:dyDescent="0.45">
      <c r="D170" s="340"/>
      <c r="E170" s="341"/>
      <c r="F170" s="341"/>
      <c r="G170" s="341"/>
      <c r="H170" s="342"/>
      <c r="N170" s="340"/>
      <c r="O170" s="341"/>
      <c r="P170" s="341"/>
      <c r="Q170" s="341"/>
      <c r="R170" s="342"/>
      <c r="S170" s="340"/>
      <c r="T170" s="341"/>
      <c r="U170" s="341"/>
      <c r="V170" s="341"/>
      <c r="W170" s="342"/>
    </row>
    <row r="171" spans="1:25" ht="23.35" customHeight="1" thickBot="1" x14ac:dyDescent="0.5">
      <c r="D171" s="344"/>
      <c r="E171" s="345"/>
      <c r="F171" s="345"/>
      <c r="G171" s="345"/>
      <c r="H171" s="346"/>
      <c r="N171" s="344"/>
      <c r="O171" s="345"/>
      <c r="P171" s="345"/>
      <c r="Q171" s="345"/>
      <c r="R171" s="346"/>
      <c r="S171" s="344"/>
      <c r="T171" s="345"/>
      <c r="U171" s="345"/>
      <c r="V171" s="345"/>
      <c r="W171" s="346"/>
    </row>
    <row r="172" spans="1:25" ht="23.35" customHeight="1" x14ac:dyDescent="0.45"/>
    <row r="173" spans="1:25" ht="23.35" customHeight="1" x14ac:dyDescent="0.45"/>
    <row r="174" spans="1:25" ht="23.35" customHeight="1" x14ac:dyDescent="0.45"/>
    <row r="175" spans="1:25" ht="23.35" customHeight="1" thickBot="1" x14ac:dyDescent="0.65">
      <c r="A175" s="6" t="s">
        <v>978</v>
      </c>
      <c r="N175" s="239" t="s">
        <v>948</v>
      </c>
    </row>
    <row r="176" spans="1:25" ht="23.35" customHeight="1" thickTop="1" x14ac:dyDescent="0.45">
      <c r="A176" s="13" t="s">
        <v>973</v>
      </c>
    </row>
    <row r="177" spans="1:25" ht="23.35" customHeight="1" x14ac:dyDescent="0.45">
      <c r="A177" s="219">
        <f>COUNTBLANK(D179:H183)</f>
        <v>19</v>
      </c>
    </row>
    <row r="178" spans="1:25" ht="23.35" customHeight="1" thickBot="1" x14ac:dyDescent="0.5"/>
    <row r="179" spans="1:25" ht="23.35" customHeight="1" x14ac:dyDescent="0.45">
      <c r="A179" t="s">
        <v>979</v>
      </c>
      <c r="D179" s="337"/>
      <c r="E179" s="338"/>
      <c r="F179" s="338"/>
      <c r="G179" s="338"/>
      <c r="H179" s="339"/>
      <c r="N179" s="337"/>
      <c r="O179" s="338"/>
      <c r="P179" s="338"/>
      <c r="Q179" s="338"/>
      <c r="R179" s="339"/>
      <c r="S179" s="337"/>
      <c r="T179" s="338"/>
      <c r="U179" s="338"/>
      <c r="V179" s="338"/>
      <c r="W179" s="339"/>
    </row>
    <row r="180" spans="1:25" ht="23.35" customHeight="1" x14ac:dyDescent="0.45">
      <c r="A180" s="13" t="s">
        <v>973</v>
      </c>
      <c r="D180" s="340"/>
      <c r="E180" s="341"/>
      <c r="F180" s="245" t="s">
        <v>936</v>
      </c>
      <c r="G180" s="341"/>
      <c r="H180" s="342"/>
      <c r="N180" s="340"/>
      <c r="O180" s="341"/>
      <c r="P180" s="245" t="s">
        <v>936</v>
      </c>
      <c r="Q180" s="341"/>
      <c r="R180" s="342"/>
      <c r="S180" s="340"/>
      <c r="T180" s="341"/>
      <c r="U180" s="245" t="s">
        <v>936</v>
      </c>
      <c r="V180" s="341"/>
      <c r="W180" s="342"/>
    </row>
    <row r="181" spans="1:25" ht="23.35" customHeight="1" x14ac:dyDescent="0.45">
      <c r="A181" s="219">
        <f>COUNTBLANK(N179:R183)</f>
        <v>21</v>
      </c>
      <c r="D181" s="349" t="s">
        <v>974</v>
      </c>
      <c r="E181" s="209" t="s">
        <v>938</v>
      </c>
      <c r="F181" s="208" t="s">
        <v>937</v>
      </c>
      <c r="G181" s="209" t="s">
        <v>938</v>
      </c>
      <c r="H181" s="343" t="s">
        <v>974</v>
      </c>
      <c r="N181" s="349" t="s">
        <v>974</v>
      </c>
      <c r="O181" s="209" t="s">
        <v>938</v>
      </c>
      <c r="P181" s="208" t="s">
        <v>937</v>
      </c>
      <c r="Q181" s="341"/>
      <c r="R181" s="342"/>
      <c r="S181" s="349" t="s">
        <v>974</v>
      </c>
      <c r="T181" s="209" t="s">
        <v>938</v>
      </c>
      <c r="U181" s="208" t="s">
        <v>937</v>
      </c>
      <c r="V181" s="341"/>
      <c r="W181" s="342"/>
      <c r="X181" s="349" t="s">
        <v>974</v>
      </c>
      <c r="Y181" s="209" t="s">
        <v>938</v>
      </c>
    </row>
    <row r="182" spans="1:25" ht="23.35" customHeight="1" x14ac:dyDescent="0.45">
      <c r="D182" s="340"/>
      <c r="E182" s="341"/>
      <c r="F182" s="341"/>
      <c r="G182" s="341"/>
      <c r="H182" s="342"/>
      <c r="N182" s="340"/>
      <c r="O182" s="341"/>
      <c r="P182" s="341"/>
      <c r="Q182" s="341"/>
      <c r="R182" s="342"/>
      <c r="S182" s="340"/>
      <c r="T182" s="341"/>
      <c r="U182" s="341"/>
      <c r="V182" s="341"/>
      <c r="W182" s="342"/>
    </row>
    <row r="183" spans="1:25" ht="23.35" customHeight="1" thickBot="1" x14ac:dyDescent="0.5">
      <c r="D183" s="344"/>
      <c r="E183" s="345"/>
      <c r="F183" s="345"/>
      <c r="G183" s="345"/>
      <c r="H183" s="346"/>
      <c r="N183" s="344"/>
      <c r="O183" s="345"/>
      <c r="P183" s="345"/>
      <c r="Q183" s="345"/>
      <c r="R183" s="346"/>
      <c r="S183" s="344"/>
      <c r="T183" s="345"/>
      <c r="U183" s="345"/>
      <c r="V183" s="345"/>
      <c r="W183" s="346"/>
    </row>
    <row r="184" spans="1:25" ht="23.35" customHeight="1" x14ac:dyDescent="0.45">
      <c r="N184" s="337"/>
      <c r="O184" s="338"/>
      <c r="P184" s="338"/>
      <c r="Q184" s="338"/>
      <c r="R184" s="339"/>
    </row>
    <row r="185" spans="1:25" ht="23.35" customHeight="1" x14ac:dyDescent="0.45">
      <c r="N185" s="340"/>
      <c r="O185" s="341"/>
      <c r="P185" s="245" t="s">
        <v>936</v>
      </c>
      <c r="Q185" s="341"/>
      <c r="R185" s="342"/>
    </row>
    <row r="186" spans="1:25" ht="23.35" customHeight="1" x14ac:dyDescent="0.45">
      <c r="N186" s="349" t="s">
        <v>974</v>
      </c>
      <c r="O186" s="209" t="s">
        <v>938</v>
      </c>
      <c r="P186" s="208" t="s">
        <v>937</v>
      </c>
      <c r="Q186" s="341"/>
      <c r="R186" s="342"/>
      <c r="S186" s="349" t="s">
        <v>974</v>
      </c>
      <c r="T186" s="209" t="s">
        <v>938</v>
      </c>
    </row>
    <row r="187" spans="1:25" ht="23.35" customHeight="1" x14ac:dyDescent="0.45">
      <c r="N187" s="340"/>
      <c r="O187" s="341"/>
      <c r="P187" s="341"/>
      <c r="Q187" s="341"/>
      <c r="R187" s="342"/>
    </row>
    <row r="188" spans="1:25" ht="23.35" customHeight="1" thickBot="1" x14ac:dyDescent="0.5">
      <c r="N188" s="344"/>
      <c r="O188" s="345"/>
      <c r="P188" s="345"/>
      <c r="Q188" s="345"/>
      <c r="R188" s="346"/>
    </row>
    <row r="189" spans="1:25" ht="23.35" customHeight="1" x14ac:dyDescent="0.45"/>
    <row r="190" spans="1:25" ht="23.35" customHeight="1" x14ac:dyDescent="0.45"/>
    <row r="191" spans="1:25" ht="23.35" customHeight="1" x14ac:dyDescent="0.45"/>
    <row r="192" spans="1:25" ht="23.35" customHeight="1" x14ac:dyDescent="0.45"/>
    <row r="193" ht="23.35" customHeight="1" x14ac:dyDescent="0.45"/>
    <row r="194" ht="23.35" customHeight="1" x14ac:dyDescent="0.45"/>
    <row r="195" ht="23.35" customHeight="1" x14ac:dyDescent="0.45"/>
    <row r="196" ht="23.35" customHeight="1" x14ac:dyDescent="0.45"/>
    <row r="197" ht="23.35" customHeight="1" x14ac:dyDescent="0.45"/>
    <row r="198" ht="23.35" customHeight="1" x14ac:dyDescent="0.45"/>
    <row r="199" ht="23.35" customHeight="1" x14ac:dyDescent="0.45"/>
    <row r="200" ht="23.35" customHeight="1" x14ac:dyDescent="0.45"/>
  </sheetData>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10</vt:i4>
      </vt:variant>
    </vt:vector>
  </HeadingPairs>
  <TitlesOfParts>
    <vt:vector size="10" baseType="lpstr">
      <vt:lpstr>Island Model</vt:lpstr>
      <vt:lpstr>ModelTemplates</vt:lpstr>
      <vt:lpstr>1000Paragons</vt:lpstr>
      <vt:lpstr>Production</vt:lpstr>
      <vt:lpstr>Battle</vt:lpstr>
      <vt:lpstr>Ships</vt:lpstr>
      <vt:lpstr>IslandSize</vt:lpstr>
      <vt:lpstr>ProductionRatios</vt:lpstr>
      <vt:lpstr>BuildingPatterns</vt:lpstr>
      <vt:lpstr>Convert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2022-06-29T13:04:21Z</dcterms:created>
  <dcterms:modified xsi:type="dcterms:W3CDTF">2022-08-05T13:26:50Z</dcterms:modified>
</cp:coreProperties>
</file>