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hidePivotFieldList="1"/>
  <mc:AlternateContent xmlns:mc="http://schemas.openxmlformats.org/markup-compatibility/2006">
    <mc:Choice Requires="x15">
      <x15ac:absPath xmlns:x15ac="http://schemas.microsoft.com/office/spreadsheetml/2010/11/ac" url="D:\MpEnsystems\SE4ALL DF 2024 - 2025\Excel sheet for CBA\"/>
    </mc:Choice>
  </mc:AlternateContent>
  <xr:revisionPtr revIDLastSave="0" documentId="13_ncr:1_{164FF76E-D4FA-4878-A5AF-A7BD0E1D593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enefit cost analysis" sheetId="2" r:id="rId1"/>
    <sheet name="Assumptions" sheetId="9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0" i="2" l="1"/>
  <c r="C46" i="2"/>
  <c r="C22" i="2" l="1"/>
  <c r="C71" i="2" s="1"/>
  <c r="D71" i="2" s="1"/>
  <c r="E71" i="2" s="1"/>
  <c r="F71" i="2" s="1"/>
  <c r="G71" i="2" s="1"/>
  <c r="H71" i="2" s="1"/>
  <c r="I71" i="2" s="1"/>
  <c r="J71" i="2" s="1"/>
  <c r="K71" i="2" s="1"/>
  <c r="L71" i="2" s="1"/>
  <c r="M71" i="2" s="1"/>
  <c r="C17" i="2"/>
  <c r="C18" i="2" s="1"/>
  <c r="D61" i="2"/>
  <c r="E61" i="2"/>
  <c r="F61" i="2"/>
  <c r="G61" i="2"/>
  <c r="H61" i="2"/>
  <c r="I61" i="2"/>
  <c r="J61" i="2"/>
  <c r="K61" i="2"/>
  <c r="L61" i="2"/>
  <c r="M61" i="2"/>
  <c r="D59" i="2"/>
  <c r="E59" i="2"/>
  <c r="F59" i="2"/>
  <c r="G59" i="2"/>
  <c r="H59" i="2"/>
  <c r="I59" i="2"/>
  <c r="J59" i="2"/>
  <c r="K59" i="2"/>
  <c r="L59" i="2"/>
  <c r="M59" i="2"/>
  <c r="C34" i="2"/>
  <c r="C33" i="2"/>
  <c r="C35" i="2"/>
  <c r="B15" i="2"/>
  <c r="C15" i="2"/>
  <c r="B16" i="2"/>
  <c r="C16" i="2"/>
  <c r="B14" i="2"/>
  <c r="C11" i="2"/>
  <c r="C38" i="2"/>
  <c r="D38" i="2" s="1"/>
  <c r="D10" i="9"/>
  <c r="C10" i="9"/>
  <c r="D4" i="9"/>
  <c r="D7" i="9" s="1"/>
  <c r="C4" i="9"/>
  <c r="C7" i="9" s="1"/>
  <c r="C11" i="9" l="1"/>
  <c r="C20" i="2"/>
  <c r="D62" i="2" s="1"/>
  <c r="E38" i="2"/>
  <c r="C8" i="9"/>
  <c r="D92" i="2"/>
  <c r="D100" i="2"/>
  <c r="E100" i="2"/>
  <c r="F100" i="2"/>
  <c r="G100" i="2"/>
  <c r="H100" i="2"/>
  <c r="I100" i="2"/>
  <c r="J100" i="2"/>
  <c r="K100" i="2"/>
  <c r="L100" i="2"/>
  <c r="M100" i="2"/>
  <c r="C94" i="2"/>
  <c r="C9" i="2"/>
  <c r="E62" i="2" l="1"/>
  <c r="D76" i="2"/>
  <c r="D40" i="2"/>
  <c r="E40" i="2" s="1"/>
  <c r="F40" i="2" s="1"/>
  <c r="G40" i="2" s="1"/>
  <c r="H40" i="2" s="1"/>
  <c r="I40" i="2" s="1"/>
  <c r="J40" i="2" s="1"/>
  <c r="K40" i="2" s="1"/>
  <c r="L40" i="2" s="1"/>
  <c r="M40" i="2" s="1"/>
  <c r="D48" i="2"/>
  <c r="C31" i="2"/>
  <c r="C26" i="2"/>
  <c r="C25" i="2"/>
  <c r="F38" i="2"/>
  <c r="E92" i="2"/>
  <c r="F62" i="2" l="1"/>
  <c r="E76" i="2"/>
  <c r="E48" i="2"/>
  <c r="F48" i="2" s="1"/>
  <c r="G48" i="2" s="1"/>
  <c r="H48" i="2" s="1"/>
  <c r="I48" i="2" s="1"/>
  <c r="J48" i="2" s="1"/>
  <c r="K48" i="2" s="1"/>
  <c r="L48" i="2" s="1"/>
  <c r="M48" i="2" s="1"/>
  <c r="C27" i="2"/>
  <c r="C50" i="2" s="1"/>
  <c r="C81" i="2" s="1"/>
  <c r="C83" i="2" s="1"/>
  <c r="C63" i="2"/>
  <c r="D64" i="2"/>
  <c r="C32" i="2"/>
  <c r="F39" i="2" s="1"/>
  <c r="F41" i="2" s="1"/>
  <c r="G38" i="2"/>
  <c r="F92" i="2"/>
  <c r="G62" i="2" l="1"/>
  <c r="F76" i="2"/>
  <c r="C45" i="2"/>
  <c r="C59" i="2" s="1"/>
  <c r="C47" i="2"/>
  <c r="C61" i="2" s="1"/>
  <c r="C98" i="2"/>
  <c r="H49" i="2"/>
  <c r="H63" i="2" s="1"/>
  <c r="E49" i="2"/>
  <c r="E63" i="2" s="1"/>
  <c r="I49" i="2"/>
  <c r="I63" i="2" s="1"/>
  <c r="D49" i="2"/>
  <c r="F49" i="2"/>
  <c r="F63" i="2" s="1"/>
  <c r="G49" i="2"/>
  <c r="G63" i="2" s="1"/>
  <c r="J49" i="2"/>
  <c r="J63" i="2" s="1"/>
  <c r="K49" i="2"/>
  <c r="K63" i="2" s="1"/>
  <c r="L49" i="2"/>
  <c r="L63" i="2" s="1"/>
  <c r="M49" i="2"/>
  <c r="M63" i="2" s="1"/>
  <c r="D51" i="2"/>
  <c r="E39" i="2"/>
  <c r="E41" i="2" s="1"/>
  <c r="D39" i="2"/>
  <c r="D41" i="2" s="1"/>
  <c r="D93" i="2"/>
  <c r="D94" i="2" s="1"/>
  <c r="D75" i="2"/>
  <c r="D77" i="2" s="1"/>
  <c r="E64" i="2"/>
  <c r="F93" i="2"/>
  <c r="F94" i="2" s="1"/>
  <c r="E93" i="2"/>
  <c r="E94" i="2" s="1"/>
  <c r="H38" i="2"/>
  <c r="G39" i="2"/>
  <c r="G41" i="2" s="1"/>
  <c r="G92" i="2"/>
  <c r="G93" i="2" s="1"/>
  <c r="C65" i="2" l="1"/>
  <c r="H62" i="2"/>
  <c r="G76" i="2"/>
  <c r="C99" i="2"/>
  <c r="C100" i="2" s="1"/>
  <c r="C101" i="2" s="1"/>
  <c r="G4" i="2" s="1"/>
  <c r="C52" i="2"/>
  <c r="D63" i="2"/>
  <c r="D65" i="2" s="1"/>
  <c r="D52" i="2"/>
  <c r="D82" i="2"/>
  <c r="D83" i="2" s="1"/>
  <c r="E51" i="2"/>
  <c r="F51" i="2" s="1"/>
  <c r="E75" i="2"/>
  <c r="E77" i="2" s="1"/>
  <c r="F64" i="2"/>
  <c r="E65" i="2"/>
  <c r="I38" i="2"/>
  <c r="H39" i="2"/>
  <c r="H41" i="2" s="1"/>
  <c r="H92" i="2"/>
  <c r="H93" i="2" s="1"/>
  <c r="G94" i="2"/>
  <c r="I62" i="2" l="1"/>
  <c r="H76" i="2"/>
  <c r="E52" i="2"/>
  <c r="E82" i="2"/>
  <c r="E83" i="2" s="1"/>
  <c r="F75" i="2"/>
  <c r="F77" i="2" s="1"/>
  <c r="F65" i="2"/>
  <c r="G64" i="2"/>
  <c r="G51" i="2"/>
  <c r="F82" i="2"/>
  <c r="F83" i="2" s="1"/>
  <c r="F52" i="2"/>
  <c r="J38" i="2"/>
  <c r="I39" i="2"/>
  <c r="I41" i="2" s="1"/>
  <c r="I92" i="2"/>
  <c r="I93" i="2" s="1"/>
  <c r="H94" i="2"/>
  <c r="J62" i="2" l="1"/>
  <c r="I76" i="2"/>
  <c r="G75" i="2"/>
  <c r="G77" i="2" s="1"/>
  <c r="H64" i="2"/>
  <c r="G65" i="2"/>
  <c r="H51" i="2"/>
  <c r="G82" i="2"/>
  <c r="G83" i="2" s="1"/>
  <c r="G52" i="2"/>
  <c r="K38" i="2"/>
  <c r="J39" i="2"/>
  <c r="J41" i="2" s="1"/>
  <c r="I94" i="2"/>
  <c r="J92" i="2"/>
  <c r="J93" i="2" s="1"/>
  <c r="K62" i="2" l="1"/>
  <c r="J76" i="2"/>
  <c r="H75" i="2"/>
  <c r="H77" i="2" s="1"/>
  <c r="I64" i="2"/>
  <c r="H65" i="2"/>
  <c r="I51" i="2"/>
  <c r="H82" i="2"/>
  <c r="H83" i="2" s="1"/>
  <c r="H52" i="2"/>
  <c r="L38" i="2"/>
  <c r="K39" i="2"/>
  <c r="K41" i="2" s="1"/>
  <c r="J94" i="2"/>
  <c r="K92" i="2"/>
  <c r="K93" i="2" s="1"/>
  <c r="L62" i="2" l="1"/>
  <c r="K76" i="2"/>
  <c r="I75" i="2"/>
  <c r="I77" i="2" s="1"/>
  <c r="J64" i="2"/>
  <c r="I65" i="2"/>
  <c r="J51" i="2"/>
  <c r="I82" i="2"/>
  <c r="I83" i="2" s="1"/>
  <c r="I52" i="2"/>
  <c r="M38" i="2"/>
  <c r="M39" i="2" s="1"/>
  <c r="M41" i="2" s="1"/>
  <c r="L39" i="2"/>
  <c r="L41" i="2" s="1"/>
  <c r="K94" i="2"/>
  <c r="L92" i="2"/>
  <c r="L93" i="2" s="1"/>
  <c r="M62" i="2" l="1"/>
  <c r="M76" i="2" s="1"/>
  <c r="L76" i="2"/>
  <c r="C42" i="2"/>
  <c r="J75" i="2"/>
  <c r="J77" i="2" s="1"/>
  <c r="K64" i="2"/>
  <c r="J65" i="2"/>
  <c r="K51" i="2"/>
  <c r="J82" i="2"/>
  <c r="J83" i="2" s="1"/>
  <c r="J52" i="2"/>
  <c r="L94" i="2"/>
  <c r="M92" i="2"/>
  <c r="M93" i="2" s="1"/>
  <c r="K75" i="2" l="1"/>
  <c r="K77" i="2" s="1"/>
  <c r="L64" i="2"/>
  <c r="K65" i="2"/>
  <c r="L51" i="2"/>
  <c r="K82" i="2"/>
  <c r="K83" i="2" s="1"/>
  <c r="K52" i="2"/>
  <c r="D3" i="2"/>
  <c r="C3" i="2"/>
  <c r="M94" i="2"/>
  <c r="C95" i="2" s="1"/>
  <c r="L75" i="2" l="1"/>
  <c r="L77" i="2" s="1"/>
  <c r="M64" i="2"/>
  <c r="L65" i="2"/>
  <c r="M51" i="2"/>
  <c r="L82" i="2"/>
  <c r="L83" i="2" s="1"/>
  <c r="L52" i="2"/>
  <c r="G3" i="2"/>
  <c r="G5" i="2" s="1"/>
  <c r="G6" i="2" s="1"/>
  <c r="B103" i="2"/>
  <c r="M65" i="2" l="1"/>
  <c r="C66" i="2" s="1"/>
  <c r="M75" i="2"/>
  <c r="M82" i="2"/>
  <c r="M83" i="2" s="1"/>
  <c r="C84" i="2" s="1"/>
  <c r="M52" i="2"/>
  <c r="C53" i="2" s="1"/>
  <c r="M77" i="2" l="1"/>
  <c r="C78" i="2" s="1"/>
  <c r="F3" i="2" s="1"/>
  <c r="D4" i="2"/>
  <c r="D5" i="2" s="1"/>
  <c r="D6" i="2" s="1"/>
  <c r="C72" i="2"/>
  <c r="E5" i="2" s="1"/>
  <c r="E6" i="2" s="1"/>
  <c r="B68" i="2"/>
  <c r="C4" i="2"/>
  <c r="C5" i="2" s="1"/>
  <c r="C6" i="2" s="1"/>
  <c r="B55" i="2"/>
  <c r="F4" i="2"/>
  <c r="B86" i="2"/>
  <c r="F5" i="2" l="1"/>
  <c r="F6" i="2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D7BE8BB-43E8-4277-856E-55F351E54162}" keepAlive="1" name="Query - Table103 (Page 71-72)" description="Connection to the 'Table103 (Page 71-72)' query in the workbook." type="5" refreshedVersion="8" background="1" saveData="1">
    <dbPr connection="Provider=Microsoft.Mashup.OleDb.1;Data Source=$Workbook$;Location=&quot;Table103 (Page 71-72)&quot;;Extended Properties=&quot;&quot;" command="SELECT * FROM [Table103 (Page 71-72)]"/>
  </connection>
</connections>
</file>

<file path=xl/sharedStrings.xml><?xml version="1.0" encoding="utf-8"?>
<sst xmlns="http://schemas.openxmlformats.org/spreadsheetml/2006/main" count="170" uniqueCount="127">
  <si>
    <t>Assumptions</t>
  </si>
  <si>
    <t>Total sales (MUs)</t>
  </si>
  <si>
    <t>Benefit-Cost Tests</t>
  </si>
  <si>
    <t>TRC</t>
  </si>
  <si>
    <t>RIM NPV</t>
  </si>
  <si>
    <t>LRIRIM</t>
  </si>
  <si>
    <t>PCT</t>
  </si>
  <si>
    <t>SCT</t>
  </si>
  <si>
    <t>NPV Benefits</t>
  </si>
  <si>
    <t>NPV Costs</t>
  </si>
  <si>
    <t>Results of tests</t>
  </si>
  <si>
    <t>Assumptions &amp; Data</t>
  </si>
  <si>
    <t>Utility cost</t>
  </si>
  <si>
    <t>GST on communication/measurement equipments</t>
  </si>
  <si>
    <t>Socital Cost of Power, Rs/ unit</t>
  </si>
  <si>
    <t>Financial</t>
  </si>
  <si>
    <t>Year</t>
  </si>
  <si>
    <t>Avoided cost of supply (INR/kWh)</t>
  </si>
  <si>
    <t>Cost for TRC test</t>
  </si>
  <si>
    <t>Cost of M&amp;V</t>
  </si>
  <si>
    <t>Cost of RMI test</t>
  </si>
  <si>
    <t>Total cost</t>
  </si>
  <si>
    <t>O &amp; M cost (To consumers)</t>
  </si>
  <si>
    <t>Tariff impact</t>
  </si>
  <si>
    <t>Tariff impact (INR/kWh)</t>
  </si>
  <si>
    <t>Discount rate (%)</t>
  </si>
  <si>
    <t>NPV of net benefits under RIM test is positive hence suggested for implementation</t>
  </si>
  <si>
    <t>NPV of net benefits under TRC test is positive hence programe is considered for RIM test</t>
  </si>
  <si>
    <t xml:space="preserve">Calculated </t>
  </si>
  <si>
    <t>Source</t>
  </si>
  <si>
    <t>Savings (Benefits) for TRC and RIM tests</t>
  </si>
  <si>
    <t>Participants benefit</t>
  </si>
  <si>
    <t>Participants cost</t>
  </si>
  <si>
    <t>Socital cost</t>
  </si>
  <si>
    <t>Sociatal savings</t>
  </si>
  <si>
    <t>Input from tariff order</t>
  </si>
  <si>
    <t>Cost to consumer</t>
  </si>
  <si>
    <t>Annual operational cost</t>
  </si>
  <si>
    <t>Parameter</t>
  </si>
  <si>
    <t>Heat Pump</t>
  </si>
  <si>
    <t>Unitary geysers</t>
  </si>
  <si>
    <t>Number of units required for building with 150 aprtments</t>
  </si>
  <si>
    <t>rating of each unit (kW)</t>
  </si>
  <si>
    <t>Total rating of power per building</t>
  </si>
  <si>
    <t>Number of hours of operation</t>
  </si>
  <si>
    <t>Number of days of operation per year</t>
  </si>
  <si>
    <t>Annual energy consumption</t>
  </si>
  <si>
    <t>Cost per equipment (INR)</t>
  </si>
  <si>
    <t>Total savings in energy consumption(kWh)</t>
  </si>
  <si>
    <t>Total cost (INR Cr)</t>
  </si>
  <si>
    <t>Cost difference (INR Cr)</t>
  </si>
  <si>
    <t xml:space="preserve">Heat pump and Geyser </t>
  </si>
  <si>
    <t>Highest Marginal cost (INR/kWh)</t>
  </si>
  <si>
    <t>Average power purchase cost (INR/kWh)</t>
  </si>
  <si>
    <t>Escalation rates for power purchase cost (%)</t>
  </si>
  <si>
    <t>Distribution loss (%)</t>
  </si>
  <si>
    <t>Transmission loss (%)</t>
  </si>
  <si>
    <t>utility subsidy to the initial cost (%)</t>
  </si>
  <si>
    <t>Marketing and administrative cost (% of total cost)</t>
  </si>
  <si>
    <t>M&amp;V cost (% of total cost)</t>
  </si>
  <si>
    <t>Discount factor</t>
  </si>
  <si>
    <t>HMC (INR/kWh)</t>
  </si>
  <si>
    <t>APPC (INR/kWh)</t>
  </si>
  <si>
    <t>Utility data</t>
  </si>
  <si>
    <t>Consumer category</t>
  </si>
  <si>
    <t>Residential</t>
  </si>
  <si>
    <t>Commercial</t>
  </si>
  <si>
    <t>Public service</t>
  </si>
  <si>
    <t>Consumer tariff (INR/kWh)</t>
  </si>
  <si>
    <t>Cost of technology</t>
  </si>
  <si>
    <t>Heat pump (INR Cr)</t>
  </si>
  <si>
    <t>Geyser (INR Cr)</t>
  </si>
  <si>
    <t>Difference in cost (INR Cr)</t>
  </si>
  <si>
    <t>Annual energy savings</t>
  </si>
  <si>
    <t>For utility (kWh)</t>
  </si>
  <si>
    <t>Utility subsidy for puchanse of new technology (%)</t>
  </si>
  <si>
    <t>Program cost</t>
  </si>
  <si>
    <t>Marketing and Administrative cost (% of total cost)</t>
  </si>
  <si>
    <t xml:space="preserve">Marketing and administrative cost (INR Lakhs) </t>
  </si>
  <si>
    <t>Operational cost of heat pump (% of total cost)</t>
  </si>
  <si>
    <t>Escalation in operational cost (%)</t>
  </si>
  <si>
    <t>Cost of technology to utility (INR Lakhs)</t>
  </si>
  <si>
    <t>Loss in revenue (INR Lakhs)</t>
  </si>
  <si>
    <t>Escalation in consumer tariff (%)</t>
  </si>
  <si>
    <t>CAGR for utility sales (%)</t>
  </si>
  <si>
    <t>Utility total sales (MUs)</t>
  </si>
  <si>
    <t>Cost of technology (INR Lakhs)</t>
  </si>
  <si>
    <t>NPV of Savings (INR Lakhs)</t>
  </si>
  <si>
    <t>NPV of cost for SCT (INR Lakhs)</t>
  </si>
  <si>
    <t>NPV of net benefit (Benefit -Cost) for SCT test (INR Lakhs)</t>
  </si>
  <si>
    <t>NPV of savings (INR Lakhs)</t>
  </si>
  <si>
    <t>NPV of costs (TRC) (INR Lakhs)</t>
  </si>
  <si>
    <t>NPV of net benefit (Benefit -Cost) for TRC test (INR Lakhs)</t>
  </si>
  <si>
    <t>NPV of costs (RIM) (INR Lakhs)</t>
  </si>
  <si>
    <t>NPV of net benefit (Benefit -Cost) for RIM test (INR Lakhs)</t>
  </si>
  <si>
    <t>NPV of benefits (INR Lakhs)</t>
  </si>
  <si>
    <t>NPV of costs for PCT (INR Lakhs)</t>
  </si>
  <si>
    <t>NPV of net benefit (Benefit -Cost) for PCT test (INR Lakhs)</t>
  </si>
  <si>
    <t>Admin, mkting, M&amp;V costs to utility(Rs. Lakhs)</t>
  </si>
  <si>
    <t>Total Cost of the Program (Rs. Lakhs)</t>
  </si>
  <si>
    <t>Purchase cost to utility &amp; participant, excluding  tax (Rs. Lakhs)</t>
  </si>
  <si>
    <t>Avoided external cost (Rs. Lakhs)</t>
  </si>
  <si>
    <t>Total Benefit, Rs.Lakhs</t>
  </si>
  <si>
    <t>Differnece between HMC and APPC</t>
  </si>
  <si>
    <t>Assumption</t>
  </si>
  <si>
    <t>Select consumer category</t>
  </si>
  <si>
    <t>DISCOM data</t>
  </si>
  <si>
    <t>Number of buildings for heat pump installation</t>
  </si>
  <si>
    <t xml:space="preserve">For consumer (kWh) </t>
  </si>
  <si>
    <t>Inputs from tariff order - discom specifc</t>
  </si>
  <si>
    <t>Technology specifc data</t>
  </si>
  <si>
    <t>Assumptions based on consumer base data</t>
  </si>
  <si>
    <t>Number of buildings in each category</t>
  </si>
  <si>
    <t>Tariff (INR/kWh)</t>
  </si>
  <si>
    <t>Savings in supply cost to utility (INR Lakhs) due to increased efficiency</t>
  </si>
  <si>
    <t>Savings in supply cost to utility (INR Lakhs) if heat pumps are used in solar hours compared to non-solar hours</t>
  </si>
  <si>
    <t>APPC no-solar(INR/kWh)</t>
  </si>
  <si>
    <t>APPC solar (INR/kWh)</t>
  </si>
  <si>
    <t>Assuming difference in APPCsolar and non-solar will increase with same rate as power purchase cost</t>
  </si>
  <si>
    <t>Total</t>
  </si>
  <si>
    <t>Cost of network operating centre (INR Cr.)</t>
  </si>
  <si>
    <t>Cost of netowrk operating centre (INR lakhs)</t>
  </si>
  <si>
    <t>Cost of technology to consumer (INR Lakhs)</t>
  </si>
  <si>
    <t>Incentive for using heat pumps in solar hours (INR/kWh)</t>
  </si>
  <si>
    <t>Incentive to consumer (INR lakhs)</t>
  </si>
  <si>
    <t>Benefits from saving in energy consumption (INR lakhs)</t>
  </si>
  <si>
    <t>Incentives for using heat pumps in solar hours (INR Lakhs)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</si>
</sst>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₹&quot;\ #,##0.00;[Red]&quot;₹&quot;\ \-#,##0.00"/>
    <numFmt numFmtId="164" formatCode="0.000000"/>
    <numFmt numFmtId="165" formatCode="0.0"/>
    <numFmt numFmtId="166" formatCode="0.000"/>
    <numFmt numFmtId="167" formatCode="&quot;₹&quot;\ #,##0.0000;[Red]&quot;₹&quot;\ \-#,##0.0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9"/>
      <name val="Calibri"/>
      <family val="2"/>
    </font>
    <font>
      <b/>
      <sz val="11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indexed="8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9" fontId="8" fillId="0" borderId="0" applyFont="0" applyFill="0" applyBorder="0" applyAlignment="0" applyProtection="0"/>
  </cellStyleXfs>
  <cellXfs count="94">
    <xf numFmtId="0" fontId="0" fillId="0" borderId="0" xfId="0"/>
    <xf numFmtId="9" fontId="0" fillId="0" borderId="0" xfId="0" applyNumberFormat="1"/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2" fontId="6" fillId="4" borderId="1" xfId="2" applyNumberFormat="1" applyFont="1" applyFill="1" applyBorder="1" applyAlignment="1">
      <alignment horizontal="center" vertical="center" wrapText="1"/>
    </xf>
    <xf numFmtId="0" fontId="6" fillId="4" borderId="1" xfId="2" applyFont="1" applyFill="1" applyBorder="1" applyAlignment="1">
      <alignment horizontal="center" vertical="center" wrapText="1"/>
    </xf>
    <xf numFmtId="40" fontId="6" fillId="4" borderId="1" xfId="2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164" fontId="6" fillId="4" borderId="1" xfId="2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7" fillId="5" borderId="1" xfId="0" applyFont="1" applyFill="1" applyBorder="1" applyAlignment="1">
      <alignment horizontal="left" vertical="center"/>
    </xf>
    <xf numFmtId="2" fontId="7" fillId="0" borderId="1" xfId="0" applyNumberFormat="1" applyFont="1" applyBorder="1" applyAlignment="1">
      <alignment horizontal="right" vertical="center" wrapText="1"/>
    </xf>
    <xf numFmtId="2" fontId="7" fillId="0" borderId="1" xfId="3" applyNumberFormat="1" applyFont="1" applyFill="1" applyBorder="1" applyAlignment="1">
      <alignment horizontal="right" vertical="center" wrapText="1"/>
    </xf>
    <xf numFmtId="2" fontId="0" fillId="0" borderId="0" xfId="0" applyNumberFormat="1"/>
    <xf numFmtId="165" fontId="0" fillId="0" borderId="0" xfId="0" applyNumberFormat="1"/>
    <xf numFmtId="2" fontId="7" fillId="0" borderId="0" xfId="3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2" fontId="7" fillId="0" borderId="0" xfId="0" applyNumberFormat="1" applyFont="1" applyAlignment="1">
      <alignment horizontal="right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9" fontId="0" fillId="0" borderId="1" xfId="0" applyNumberFormat="1" applyBorder="1"/>
    <xf numFmtId="10" fontId="0" fillId="0" borderId="1" xfId="0" applyNumberFormat="1" applyBorder="1"/>
    <xf numFmtId="0" fontId="3" fillId="6" borderId="8" xfId="0" applyFont="1" applyFill="1" applyBorder="1"/>
    <xf numFmtId="0" fontId="3" fillId="6" borderId="2" xfId="0" applyFont="1" applyFill="1" applyBorder="1"/>
    <xf numFmtId="0" fontId="3" fillId="6" borderId="9" xfId="0" applyFont="1" applyFill="1" applyBorder="1"/>
    <xf numFmtId="0" fontId="0" fillId="0" borderId="10" xfId="0" applyBorder="1"/>
    <xf numFmtId="0" fontId="0" fillId="0" borderId="5" xfId="0" applyBorder="1"/>
    <xf numFmtId="0" fontId="0" fillId="0" borderId="3" xfId="0" applyBorder="1"/>
    <xf numFmtId="0" fontId="0" fillId="0" borderId="11" xfId="0" applyBorder="1"/>
    <xf numFmtId="0" fontId="0" fillId="0" borderId="4" xfId="0" applyBorder="1"/>
    <xf numFmtId="166" fontId="0" fillId="0" borderId="0" xfId="1" applyNumberFormat="1" applyFont="1" applyBorder="1"/>
    <xf numFmtId="0" fontId="3" fillId="0" borderId="5" xfId="0" applyFont="1" applyBorder="1"/>
    <xf numFmtId="0" fontId="3" fillId="6" borderId="7" xfId="0" applyFont="1" applyFill="1" applyBorder="1" applyAlignment="1">
      <alignment horizontal="center" vertical="center" wrapText="1"/>
    </xf>
    <xf numFmtId="8" fontId="3" fillId="0" borderId="6" xfId="0" applyNumberFormat="1" applyFont="1" applyBorder="1" applyAlignment="1">
      <alignment horizontal="center" vertical="center"/>
    </xf>
    <xf numFmtId="0" fontId="3" fillId="7" borderId="3" xfId="0" applyFont="1" applyFill="1" applyBorder="1"/>
    <xf numFmtId="8" fontId="3" fillId="7" borderId="3" xfId="0" applyNumberFormat="1" applyFont="1" applyFill="1" applyBorder="1"/>
    <xf numFmtId="0" fontId="3" fillId="8" borderId="3" xfId="0" applyFont="1" applyFill="1" applyBorder="1"/>
    <xf numFmtId="8" fontId="3" fillId="8" borderId="3" xfId="0" applyNumberFormat="1" applyFont="1" applyFill="1" applyBorder="1"/>
    <xf numFmtId="167" fontId="3" fillId="9" borderId="3" xfId="0" applyNumberFormat="1" applyFont="1" applyFill="1" applyBorder="1"/>
    <xf numFmtId="8" fontId="3" fillId="9" borderId="3" xfId="0" applyNumberFormat="1" applyFont="1" applyFill="1" applyBorder="1"/>
    <xf numFmtId="0" fontId="10" fillId="0" borderId="0" xfId="0" applyFont="1" applyAlignment="1">
      <alignment vertical="center" wrapText="1"/>
    </xf>
    <xf numFmtId="0" fontId="3" fillId="6" borderId="8" xfId="0" applyFont="1" applyFill="1" applyBorder="1" applyAlignment="1">
      <alignment wrapText="1"/>
    </xf>
    <xf numFmtId="2" fontId="7" fillId="0" borderId="0" xfId="3" applyNumberFormat="1" applyFont="1" applyBorder="1" applyAlignment="1">
      <alignment vertical="center"/>
    </xf>
    <xf numFmtId="0" fontId="5" fillId="7" borderId="0" xfId="0" applyFont="1" applyFill="1" applyAlignment="1">
      <alignment horizontal="left" vertical="center"/>
    </xf>
    <xf numFmtId="8" fontId="3" fillId="7" borderId="0" xfId="0" applyNumberFormat="1" applyFont="1" applyFill="1"/>
    <xf numFmtId="0" fontId="3" fillId="7" borderId="0" xfId="0" applyFont="1" applyFill="1"/>
    <xf numFmtId="2" fontId="3" fillId="7" borderId="0" xfId="0" applyNumberFormat="1" applyFont="1" applyFill="1"/>
    <xf numFmtId="0" fontId="5" fillId="0" borderId="0" xfId="0" applyFont="1" applyAlignment="1">
      <alignment horizontal="left" vertical="center"/>
    </xf>
    <xf numFmtId="2" fontId="6" fillId="4" borderId="0" xfId="2" applyNumberFormat="1" applyFont="1" applyFill="1" applyBorder="1" applyAlignment="1">
      <alignment horizontal="center" vertical="center" wrapText="1"/>
    </xf>
    <xf numFmtId="0" fontId="0" fillId="10" borderId="0" xfId="0" applyFill="1"/>
    <xf numFmtId="0" fontId="0" fillId="11" borderId="0" xfId="0" applyFill="1"/>
    <xf numFmtId="2" fontId="7" fillId="12" borderId="0" xfId="0" applyNumberFormat="1" applyFont="1" applyFill="1" applyAlignment="1">
      <alignment horizontal="left" vertical="center"/>
    </xf>
    <xf numFmtId="9" fontId="7" fillId="0" borderId="1" xfId="1" applyFont="1" applyFill="1" applyBorder="1" applyAlignment="1">
      <alignment horizontal="right" vertical="center" wrapText="1"/>
    </xf>
    <xf numFmtId="9" fontId="0" fillId="0" borderId="1" xfId="1" applyFont="1" applyBorder="1"/>
    <xf numFmtId="0" fontId="0" fillId="0" borderId="1" xfId="1" applyNumberFormat="1" applyFont="1" applyBorder="1"/>
    <xf numFmtId="166" fontId="0" fillId="0" borderId="0" xfId="0" applyNumberFormat="1"/>
    <xf numFmtId="0" fontId="11" fillId="0" borderId="0" xfId="0" applyFont="1"/>
    <xf numFmtId="0" fontId="12" fillId="5" borderId="1" xfId="0" applyFont="1" applyFill="1" applyBorder="1"/>
    <xf numFmtId="0" fontId="0" fillId="0" borderId="1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0" borderId="19" xfId="0" applyBorder="1"/>
    <xf numFmtId="0" fontId="0" fillId="0" borderId="21" xfId="0" applyBorder="1"/>
    <xf numFmtId="0" fontId="0" fillId="0" borderId="22" xfId="0" applyBorder="1"/>
    <xf numFmtId="9" fontId="0" fillId="0" borderId="0" xfId="1" applyFont="1" applyBorder="1"/>
    <xf numFmtId="10" fontId="0" fillId="0" borderId="21" xfId="0" applyNumberFormat="1" applyBorder="1"/>
    <xf numFmtId="0" fontId="3" fillId="0" borderId="0" xfId="0" applyFont="1"/>
    <xf numFmtId="0" fontId="0" fillId="13" borderId="16" xfId="0" applyFill="1" applyBorder="1"/>
    <xf numFmtId="0" fontId="0" fillId="13" borderId="0" xfId="0" applyFill="1"/>
    <xf numFmtId="9" fontId="0" fillId="13" borderId="0" xfId="0" applyNumberFormat="1" applyFill="1"/>
    <xf numFmtId="0" fontId="0" fillId="13" borderId="0" xfId="1" applyNumberFormat="1" applyFont="1" applyFill="1" applyBorder="1"/>
    <xf numFmtId="0" fontId="0" fillId="14" borderId="16" xfId="0" applyFill="1" applyBorder="1"/>
    <xf numFmtId="0" fontId="0" fillId="14" borderId="17" xfId="0" applyFill="1" applyBorder="1"/>
    <xf numFmtId="0" fontId="0" fillId="14" borderId="0" xfId="0" applyFill="1"/>
    <xf numFmtId="0" fontId="0" fillId="14" borderId="19" xfId="0" applyFill="1" applyBorder="1"/>
    <xf numFmtId="0" fontId="0" fillId="15" borderId="19" xfId="0" applyFill="1" applyBorder="1"/>
    <xf numFmtId="0" fontId="0" fillId="15" borderId="0" xfId="0" applyFill="1"/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textRotation="90"/>
    </xf>
    <xf numFmtId="0" fontId="0" fillId="0" borderId="18" xfId="0" applyBorder="1" applyAlignment="1">
      <alignment horizontal="center" vertical="center" textRotation="90"/>
    </xf>
    <xf numFmtId="0" fontId="0" fillId="0" borderId="20" xfId="0" applyBorder="1" applyAlignment="1">
      <alignment horizontal="center" vertical="center" textRotation="90"/>
    </xf>
    <xf numFmtId="0" fontId="7" fillId="0" borderId="0" xfId="0" applyFont="1" applyAlignment="1">
      <alignment horizontal="left" vertical="top" wrapText="1"/>
    </xf>
  </cellXfs>
  <cellStyles count="4">
    <cellStyle name="Bad" xfId="2" builtinId="27"/>
    <cellStyle name="Normal" xfId="0" builtinId="0"/>
    <cellStyle name="Percent" xfId="1" builtinId="5"/>
    <cellStyle name="Percent 2" xfId="3" xr:uid="{D7592617-09C3-46E5-8D2C-341D08D2952C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35FF5-3888-4037-B055-1BCF72E520E0}">
  <dimension ref="A1:N103"/>
  <sheetViews>
    <sheetView tabSelected="1" topLeftCell="A54" zoomScale="70" zoomScaleNormal="70" workbookViewId="0">
      <selection activeCell="C31" sqref="C31"/>
    </sheetView>
  </sheetViews>
  <sheetFormatPr defaultRowHeight="14.5" x14ac:dyDescent="0.35"/>
  <cols>
    <col min="1" max="1" width="29.26953125" bestFit="1" customWidth="1"/>
    <col min="2" max="2" width="66.54296875" bestFit="1" customWidth="1"/>
    <col min="3" max="3" width="13.90625" customWidth="1"/>
    <col min="4" max="4" width="11.08984375" bestFit="1" customWidth="1"/>
    <col min="5" max="5" width="22.36328125" bestFit="1" customWidth="1"/>
    <col min="7" max="7" width="11.7265625" customWidth="1"/>
    <col min="12" max="14" width="10.7265625" customWidth="1"/>
    <col min="15" max="15" width="51.7265625" bestFit="1" customWidth="1"/>
  </cols>
  <sheetData>
    <row r="1" spans="1:7" ht="18.5" x14ac:dyDescent="0.45">
      <c r="B1" s="60" t="s">
        <v>105</v>
      </c>
      <c r="C1" s="61" t="s">
        <v>65</v>
      </c>
    </row>
    <row r="2" spans="1:7" x14ac:dyDescent="0.35">
      <c r="A2" s="2"/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pans="1:7" x14ac:dyDescent="0.35">
      <c r="A3" s="5"/>
      <c r="B3" s="6" t="s">
        <v>8</v>
      </c>
      <c r="C3" s="7">
        <f>C42</f>
        <v>4919.0572070514945</v>
      </c>
      <c r="D3" s="7">
        <f>C42</f>
        <v>4919.0572070514945</v>
      </c>
      <c r="E3" s="8"/>
      <c r="F3" s="9">
        <f>C78</f>
        <v>2343.4289839168896</v>
      </c>
      <c r="G3" s="7">
        <f>C95</f>
        <v>5798.4941753652165</v>
      </c>
    </row>
    <row r="4" spans="1:7" x14ac:dyDescent="0.35">
      <c r="A4" s="5"/>
      <c r="B4" s="6" t="s">
        <v>9</v>
      </c>
      <c r="C4" s="7">
        <f>C53</f>
        <v>2475.8300127881312</v>
      </c>
      <c r="D4" s="7">
        <f>C66</f>
        <v>3645.960802572431</v>
      </c>
      <c r="E4" s="8"/>
      <c r="F4" s="7">
        <f>C84</f>
        <v>965.42764822327115</v>
      </c>
      <c r="G4" s="7">
        <f>C101</f>
        <v>1512.0000000000002</v>
      </c>
    </row>
    <row r="5" spans="1:7" x14ac:dyDescent="0.35">
      <c r="A5" s="10"/>
      <c r="B5" s="6" t="s">
        <v>10</v>
      </c>
      <c r="C5" s="7">
        <f>C3-C4</f>
        <v>2443.2271942633633</v>
      </c>
      <c r="D5" s="7">
        <f>D3-D4</f>
        <v>1273.0964044790635</v>
      </c>
      <c r="E5" s="11">
        <f>C72</f>
        <v>-1.9279426386316015E-5</v>
      </c>
      <c r="F5" s="7">
        <f>F3-F4</f>
        <v>1378.0013356936183</v>
      </c>
      <c r="G5" s="7">
        <f>G3-G4</f>
        <v>4286.4941753652165</v>
      </c>
    </row>
    <row r="6" spans="1:7" x14ac:dyDescent="0.35">
      <c r="A6" s="10"/>
      <c r="B6" s="51"/>
      <c r="C6" s="52" t="str">
        <f>IF(C5&gt;0,"PASS","FAIL")</f>
        <v>PASS</v>
      </c>
      <c r="D6" s="52" t="str">
        <f t="shared" ref="D6:G6" si="0">IF(D5&gt;0,"PASS","FAIL")</f>
        <v>PASS</v>
      </c>
      <c r="E6" s="52" t="str">
        <f>IF(E5&lt;0.001,"PASS","FAIL")</f>
        <v>PASS</v>
      </c>
      <c r="F6" s="52" t="str">
        <f t="shared" si="0"/>
        <v>PASS</v>
      </c>
      <c r="G6" s="52" t="str">
        <f t="shared" si="0"/>
        <v>PASS</v>
      </c>
    </row>
    <row r="8" spans="1:7" x14ac:dyDescent="0.35">
      <c r="A8" s="13" t="s">
        <v>11</v>
      </c>
      <c r="B8" s="3"/>
      <c r="C8" s="2"/>
      <c r="D8" s="20"/>
      <c r="E8" s="44" t="s">
        <v>29</v>
      </c>
      <c r="F8" s="20"/>
      <c r="G8" s="20"/>
    </row>
    <row r="9" spans="1:7" x14ac:dyDescent="0.35">
      <c r="A9" s="85" t="s">
        <v>63</v>
      </c>
      <c r="B9" s="14" t="s">
        <v>103</v>
      </c>
      <c r="C9" s="15">
        <f>C10-C11</f>
        <v>3</v>
      </c>
      <c r="D9" s="21"/>
      <c r="E9" s="54" t="s">
        <v>28</v>
      </c>
      <c r="F9" s="21"/>
      <c r="G9" s="21"/>
    </row>
    <row r="10" spans="1:7" x14ac:dyDescent="0.35">
      <c r="A10" s="86"/>
      <c r="B10" s="14" t="s">
        <v>61</v>
      </c>
      <c r="C10" s="16">
        <v>6</v>
      </c>
      <c r="D10" s="19"/>
      <c r="E10" s="55" t="s">
        <v>35</v>
      </c>
      <c r="F10" s="19"/>
      <c r="G10" s="19"/>
    </row>
    <row r="11" spans="1:7" x14ac:dyDescent="0.35">
      <c r="A11" s="86"/>
      <c r="B11" s="14" t="s">
        <v>62</v>
      </c>
      <c r="C11" s="16">
        <f>Assumptions!C13</f>
        <v>3</v>
      </c>
      <c r="E11" s="55" t="s">
        <v>35</v>
      </c>
    </row>
    <row r="12" spans="1:7" x14ac:dyDescent="0.35">
      <c r="A12" s="86"/>
      <c r="B12" s="14" t="s">
        <v>116</v>
      </c>
      <c r="C12" s="16">
        <v>6</v>
      </c>
      <c r="E12" s="55" t="s">
        <v>35</v>
      </c>
    </row>
    <row r="13" spans="1:7" x14ac:dyDescent="0.35">
      <c r="A13" s="86"/>
      <c r="B13" s="14" t="s">
        <v>117</v>
      </c>
      <c r="C13" s="16">
        <v>3</v>
      </c>
      <c r="E13" s="55" t="s">
        <v>35</v>
      </c>
    </row>
    <row r="14" spans="1:7" x14ac:dyDescent="0.35">
      <c r="A14" s="86"/>
      <c r="B14" s="14" t="str">
        <f>Assumptions!B15</f>
        <v>Escalation rates for power purchase cost (%)</v>
      </c>
      <c r="C14" s="56">
        <v>0.05</v>
      </c>
      <c r="E14" s="55" t="s">
        <v>35</v>
      </c>
    </row>
    <row r="15" spans="1:7" x14ac:dyDescent="0.35">
      <c r="A15" s="86"/>
      <c r="B15" s="14" t="str">
        <f>Assumptions!B16</f>
        <v>Distribution loss (%)</v>
      </c>
      <c r="C15" s="56">
        <f>Assumptions!C16</f>
        <v>0.15</v>
      </c>
      <c r="E15" s="55" t="s">
        <v>35</v>
      </c>
    </row>
    <row r="16" spans="1:7" x14ac:dyDescent="0.35">
      <c r="A16" s="86"/>
      <c r="B16" s="14" t="str">
        <f>Assumptions!B17</f>
        <v>Transmission loss (%)</v>
      </c>
      <c r="C16" s="56">
        <f>Assumptions!C17</f>
        <v>0.05</v>
      </c>
      <c r="E16" s="55" t="s">
        <v>35</v>
      </c>
    </row>
    <row r="17" spans="1:5" x14ac:dyDescent="0.35">
      <c r="A17" s="86"/>
      <c r="B17" s="14" t="s">
        <v>64</v>
      </c>
      <c r="C17" s="62" t="str">
        <f>C1</f>
        <v>Residential</v>
      </c>
      <c r="E17" s="53" t="s">
        <v>104</v>
      </c>
    </row>
    <row r="18" spans="1:5" x14ac:dyDescent="0.35">
      <c r="A18" s="86"/>
      <c r="B18" s="14" t="s">
        <v>68</v>
      </c>
      <c r="C18" s="22">
        <f>_xlfn.XLOOKUP(C17,Assumptions!B19:B21,Assumptions!C19:C21)</f>
        <v>4</v>
      </c>
      <c r="E18" s="53" t="s">
        <v>104</v>
      </c>
    </row>
    <row r="19" spans="1:5" x14ac:dyDescent="0.35">
      <c r="A19" s="86"/>
      <c r="B19" s="14" t="s">
        <v>120</v>
      </c>
      <c r="C19" s="22">
        <v>1.5</v>
      </c>
      <c r="E19" s="53" t="s">
        <v>104</v>
      </c>
    </row>
    <row r="20" spans="1:5" x14ac:dyDescent="0.35">
      <c r="A20" s="86"/>
      <c r="B20" s="14" t="s">
        <v>107</v>
      </c>
      <c r="C20" s="22">
        <f>_xlfn.XLOOKUP('Benefit cost analysis'!C17,Assumptions!B19:B21,Assumptions!D19:D21)</f>
        <v>100</v>
      </c>
      <c r="E20" s="53" t="s">
        <v>104</v>
      </c>
    </row>
    <row r="21" spans="1:5" x14ac:dyDescent="0.35">
      <c r="A21" s="86"/>
      <c r="B21" s="14" t="s">
        <v>84</v>
      </c>
      <c r="C21" s="24">
        <v>0.05</v>
      </c>
      <c r="E21" s="55" t="s">
        <v>35</v>
      </c>
    </row>
    <row r="22" spans="1:5" x14ac:dyDescent="0.35">
      <c r="A22" s="86"/>
      <c r="B22" s="14" t="s">
        <v>85</v>
      </c>
      <c r="C22" s="58">
        <f>Assumptions!C14</f>
        <v>500000</v>
      </c>
      <c r="E22" s="55" t="s">
        <v>35</v>
      </c>
    </row>
    <row r="23" spans="1:5" x14ac:dyDescent="0.35">
      <c r="A23" s="86"/>
      <c r="B23" s="14" t="s">
        <v>123</v>
      </c>
      <c r="C23" s="58">
        <v>1</v>
      </c>
      <c r="E23" s="53" t="s">
        <v>104</v>
      </c>
    </row>
    <row r="24" spans="1:5" x14ac:dyDescent="0.35">
      <c r="A24" s="87"/>
      <c r="B24" s="14" t="s">
        <v>83</v>
      </c>
      <c r="C24" s="24">
        <v>0.05</v>
      </c>
      <c r="E24" s="53" t="s">
        <v>104</v>
      </c>
    </row>
    <row r="25" spans="1:5" x14ac:dyDescent="0.35">
      <c r="A25" s="83" t="s">
        <v>69</v>
      </c>
      <c r="B25" s="14" t="s">
        <v>70</v>
      </c>
      <c r="C25" s="22">
        <f>(Assumptions!C10)*C20</f>
        <v>36</v>
      </c>
      <c r="E25" s="54" t="s">
        <v>28</v>
      </c>
    </row>
    <row r="26" spans="1:5" x14ac:dyDescent="0.35">
      <c r="A26" s="84"/>
      <c r="B26" s="14" t="s">
        <v>71</v>
      </c>
      <c r="C26" s="22">
        <f>Assumptions!D10*C20</f>
        <v>18</v>
      </c>
      <c r="E26" s="54" t="s">
        <v>28</v>
      </c>
    </row>
    <row r="27" spans="1:5" x14ac:dyDescent="0.35">
      <c r="A27" s="84"/>
      <c r="B27" s="14" t="s">
        <v>72</v>
      </c>
      <c r="C27" s="22">
        <f>C25-C26</f>
        <v>18</v>
      </c>
      <c r="E27" s="54" t="s">
        <v>28</v>
      </c>
    </row>
    <row r="28" spans="1:5" x14ac:dyDescent="0.35">
      <c r="A28" s="84"/>
      <c r="B28" s="14" t="s">
        <v>79</v>
      </c>
      <c r="C28" s="24">
        <v>0.01</v>
      </c>
      <c r="E28" s="53" t="s">
        <v>104</v>
      </c>
    </row>
    <row r="29" spans="1:5" x14ac:dyDescent="0.35">
      <c r="A29" s="84"/>
      <c r="B29" s="14" t="s">
        <v>80</v>
      </c>
      <c r="C29" s="24">
        <v>0.05</v>
      </c>
      <c r="E29" s="53" t="s">
        <v>104</v>
      </c>
    </row>
    <row r="30" spans="1:5" x14ac:dyDescent="0.35">
      <c r="A30" s="84"/>
      <c r="B30" s="14" t="s">
        <v>75</v>
      </c>
      <c r="C30" s="57">
        <v>0.5</v>
      </c>
      <c r="E30" s="53" t="s">
        <v>104</v>
      </c>
    </row>
    <row r="31" spans="1:5" x14ac:dyDescent="0.35">
      <c r="A31" s="89" t="s">
        <v>73</v>
      </c>
      <c r="B31" s="14" t="s">
        <v>108</v>
      </c>
      <c r="C31" s="22">
        <f>Assumptions!C8*C20</f>
        <v>7344000</v>
      </c>
      <c r="E31" s="54" t="s">
        <v>28</v>
      </c>
    </row>
    <row r="32" spans="1:5" x14ac:dyDescent="0.35">
      <c r="A32" s="89"/>
      <c r="B32" s="14" t="s">
        <v>74</v>
      </c>
      <c r="C32" s="22">
        <f>C31/((1-C15)*(1-C16))</f>
        <v>9094736.8421052638</v>
      </c>
      <c r="E32" s="54" t="s">
        <v>28</v>
      </c>
    </row>
    <row r="33" spans="1:14" x14ac:dyDescent="0.35">
      <c r="A33" s="81" t="s">
        <v>76</v>
      </c>
      <c r="B33" s="14" t="s">
        <v>77</v>
      </c>
      <c r="C33" s="24">
        <f>Assumptions!C23</f>
        <v>0.02</v>
      </c>
      <c r="E33" s="53" t="s">
        <v>104</v>
      </c>
    </row>
    <row r="34" spans="1:14" x14ac:dyDescent="0.35">
      <c r="A34" s="82"/>
      <c r="B34" s="14" t="s">
        <v>59</v>
      </c>
      <c r="C34" s="24">
        <f>Assumptions!C24</f>
        <v>0.02</v>
      </c>
      <c r="E34" s="53" t="s">
        <v>104</v>
      </c>
    </row>
    <row r="35" spans="1:14" ht="22.5" customHeight="1" x14ac:dyDescent="0.35">
      <c r="A35" s="23" t="s">
        <v>15</v>
      </c>
      <c r="B35" s="14" t="s">
        <v>25</v>
      </c>
      <c r="C35" s="25">
        <f>Assumptions!C25</f>
        <v>0.105</v>
      </c>
      <c r="E35" s="53" t="s">
        <v>0</v>
      </c>
    </row>
    <row r="37" spans="1:14" ht="29" x14ac:dyDescent="0.35">
      <c r="A37" s="45" t="s">
        <v>30</v>
      </c>
      <c r="B37" s="27" t="s">
        <v>16</v>
      </c>
      <c r="C37" s="27">
        <v>0</v>
      </c>
      <c r="D37" s="27">
        <v>1</v>
      </c>
      <c r="E37" s="27">
        <v>2</v>
      </c>
      <c r="F37" s="27">
        <v>3</v>
      </c>
      <c r="G37" s="27">
        <v>4</v>
      </c>
      <c r="H37" s="27">
        <v>5</v>
      </c>
      <c r="I37" s="27">
        <v>6</v>
      </c>
      <c r="J37" s="27">
        <v>7</v>
      </c>
      <c r="K37" s="27">
        <v>8</v>
      </c>
      <c r="L37" s="27">
        <v>9</v>
      </c>
      <c r="M37" s="28">
        <v>10</v>
      </c>
    </row>
    <row r="38" spans="1:14" x14ac:dyDescent="0.35">
      <c r="A38" s="29"/>
      <c r="B38" t="s">
        <v>17</v>
      </c>
      <c r="C38" s="18">
        <f>C10</f>
        <v>6</v>
      </c>
      <c r="D38" s="18">
        <f t="shared" ref="D38:M38" si="1">C38*(1+$C14)</f>
        <v>6.3000000000000007</v>
      </c>
      <c r="E38" s="18">
        <f t="shared" si="1"/>
        <v>6.6150000000000011</v>
      </c>
      <c r="F38" s="18">
        <f t="shared" si="1"/>
        <v>6.9457500000000012</v>
      </c>
      <c r="G38" s="18">
        <f t="shared" si="1"/>
        <v>7.2930375000000014</v>
      </c>
      <c r="H38" s="18">
        <f t="shared" si="1"/>
        <v>7.6576893750000021</v>
      </c>
      <c r="I38" s="18">
        <f t="shared" si="1"/>
        <v>8.0405738437500034</v>
      </c>
      <c r="J38" s="18">
        <f t="shared" si="1"/>
        <v>8.4426025359375032</v>
      </c>
      <c r="K38" s="18">
        <f t="shared" si="1"/>
        <v>8.8647326627343794</v>
      </c>
      <c r="L38" s="18">
        <f t="shared" si="1"/>
        <v>9.3079692958710982</v>
      </c>
      <c r="M38" s="18">
        <f t="shared" si="1"/>
        <v>9.7733677606646534</v>
      </c>
      <c r="N38" s="18"/>
    </row>
    <row r="39" spans="1:14" x14ac:dyDescent="0.35">
      <c r="A39" s="29"/>
      <c r="B39" t="s">
        <v>114</v>
      </c>
      <c r="C39" s="18"/>
      <c r="D39" s="18">
        <f>D38*$C$32/10^5</f>
        <v>572.9684210526317</v>
      </c>
      <c r="E39" s="18">
        <f t="shared" ref="E39:M39" si="2">E38*$C$32/10^5</f>
        <v>601.61684210526334</v>
      </c>
      <c r="F39" s="18">
        <f t="shared" si="2"/>
        <v>631.69768421052652</v>
      </c>
      <c r="G39" s="18">
        <f t="shared" si="2"/>
        <v>663.28256842105282</v>
      </c>
      <c r="H39" s="18">
        <f t="shared" si="2"/>
        <v>696.44669684210555</v>
      </c>
      <c r="I39" s="18">
        <f t="shared" si="2"/>
        <v>731.26903168421086</v>
      </c>
      <c r="J39" s="18">
        <f t="shared" si="2"/>
        <v>767.83248326842147</v>
      </c>
      <c r="K39" s="18">
        <f t="shared" si="2"/>
        <v>806.22410743184253</v>
      </c>
      <c r="L39" s="18">
        <f t="shared" si="2"/>
        <v>846.53531280343475</v>
      </c>
      <c r="M39" s="18">
        <f t="shared" si="2"/>
        <v>888.86207844360649</v>
      </c>
    </row>
    <row r="40" spans="1:14" x14ac:dyDescent="0.35">
      <c r="A40" s="29"/>
      <c r="B40" t="s">
        <v>115</v>
      </c>
      <c r="C40" s="18"/>
      <c r="D40" s="18">
        <f>(Assumptions!$C$7*'Benefit cost analysis'!$C$20)*('Benefit cost analysis'!$C$12-'Benefit cost analysis'!$C$13)/10^5</f>
        <v>103.68</v>
      </c>
      <c r="E40" s="18">
        <f>D40*(1+$C$14)</f>
        <v>108.86400000000002</v>
      </c>
      <c r="F40" s="18">
        <f t="shared" ref="F40:M40" si="3">E40*(1+$C$14)</f>
        <v>114.30720000000002</v>
      </c>
      <c r="G40" s="18">
        <f t="shared" si="3"/>
        <v>120.02256000000003</v>
      </c>
      <c r="H40" s="18">
        <f t="shared" si="3"/>
        <v>126.02368800000004</v>
      </c>
      <c r="I40" s="18">
        <f t="shared" si="3"/>
        <v>132.32487240000003</v>
      </c>
      <c r="J40" s="18">
        <f t="shared" si="3"/>
        <v>138.94111602000004</v>
      </c>
      <c r="K40" s="18">
        <f t="shared" si="3"/>
        <v>145.88817182100004</v>
      </c>
      <c r="L40" s="18">
        <f t="shared" si="3"/>
        <v>153.18258041205004</v>
      </c>
      <c r="M40" s="18">
        <f t="shared" si="3"/>
        <v>160.84170943265255</v>
      </c>
      <c r="N40" t="s">
        <v>118</v>
      </c>
    </row>
    <row r="41" spans="1:14" x14ac:dyDescent="0.35">
      <c r="A41" s="29"/>
      <c r="B41" t="s">
        <v>119</v>
      </c>
      <c r="C41" s="18"/>
      <c r="D41" s="18">
        <f>SUM(D39:D40)</f>
        <v>676.64842105263165</v>
      </c>
      <c r="E41" s="18">
        <f t="shared" ref="E41:M41" si="4">SUM(E39:E40)</f>
        <v>710.48084210526338</v>
      </c>
      <c r="F41" s="18">
        <f t="shared" si="4"/>
        <v>746.0048842105266</v>
      </c>
      <c r="G41" s="18">
        <f t="shared" si="4"/>
        <v>783.30512842105281</v>
      </c>
      <c r="H41" s="18">
        <f t="shared" si="4"/>
        <v>822.47038484210555</v>
      </c>
      <c r="I41" s="18">
        <f t="shared" si="4"/>
        <v>863.59390408421086</v>
      </c>
      <c r="J41" s="18">
        <f t="shared" si="4"/>
        <v>906.77359928842156</v>
      </c>
      <c r="K41" s="18">
        <f t="shared" si="4"/>
        <v>952.11227925284254</v>
      </c>
      <c r="L41" s="18">
        <f t="shared" si="4"/>
        <v>999.71789321548476</v>
      </c>
      <c r="M41" s="18">
        <f t="shared" si="4"/>
        <v>1049.703787876259</v>
      </c>
    </row>
    <row r="42" spans="1:14" x14ac:dyDescent="0.35">
      <c r="A42" s="30"/>
      <c r="B42" s="40" t="s">
        <v>90</v>
      </c>
      <c r="C42" s="41">
        <f>NPV(C35,D41:M41)</f>
        <v>4919.0572070514945</v>
      </c>
      <c r="D42" s="31"/>
      <c r="E42" s="31"/>
      <c r="F42" s="31"/>
      <c r="G42" s="31"/>
      <c r="H42" s="31"/>
      <c r="I42" s="31"/>
      <c r="J42" s="31"/>
      <c r="K42" s="31"/>
      <c r="L42" s="31"/>
      <c r="M42" s="32"/>
    </row>
    <row r="44" spans="1:14" x14ac:dyDescent="0.35">
      <c r="A44" s="26" t="s">
        <v>18</v>
      </c>
      <c r="B44" s="27" t="s">
        <v>16</v>
      </c>
      <c r="C44" s="27">
        <v>0</v>
      </c>
      <c r="D44" s="27">
        <v>1</v>
      </c>
      <c r="E44" s="27">
        <v>2</v>
      </c>
      <c r="F44" s="27">
        <v>3</v>
      </c>
      <c r="G44" s="27">
        <v>4</v>
      </c>
      <c r="H44" s="27">
        <v>5</v>
      </c>
      <c r="I44" s="27">
        <v>6</v>
      </c>
      <c r="J44" s="27">
        <v>7</v>
      </c>
      <c r="K44" s="27">
        <v>8</v>
      </c>
      <c r="L44" s="27">
        <v>9</v>
      </c>
      <c r="M44" s="28">
        <v>10</v>
      </c>
    </row>
    <row r="45" spans="1:14" x14ac:dyDescent="0.35">
      <c r="A45" s="88" t="s">
        <v>12</v>
      </c>
      <c r="B45" t="s">
        <v>78</v>
      </c>
      <c r="C45">
        <f>C33*C27*100</f>
        <v>36</v>
      </c>
      <c r="M45" s="33"/>
    </row>
    <row r="46" spans="1:14" x14ac:dyDescent="0.35">
      <c r="A46" s="88"/>
      <c r="B46" t="s">
        <v>121</v>
      </c>
      <c r="C46">
        <f>C19*100</f>
        <v>150</v>
      </c>
    </row>
    <row r="47" spans="1:14" x14ac:dyDescent="0.35">
      <c r="A47" s="88"/>
      <c r="B47" t="s">
        <v>81</v>
      </c>
      <c r="C47">
        <f>C27*C30*100</f>
        <v>900</v>
      </c>
    </row>
    <row r="48" spans="1:14" x14ac:dyDescent="0.35">
      <c r="A48" s="88"/>
      <c r="B48" t="s">
        <v>124</v>
      </c>
      <c r="D48">
        <f>(Assumptions!$C$7*'Benefit cost analysis'!$C$20)*'Benefit cost analysis'!C23/10^5</f>
        <v>34.56</v>
      </c>
      <c r="E48">
        <f>D48</f>
        <v>34.56</v>
      </c>
      <c r="F48">
        <f t="shared" ref="F48:M48" si="5">E48</f>
        <v>34.56</v>
      </c>
      <c r="G48">
        <f t="shared" si="5"/>
        <v>34.56</v>
      </c>
      <c r="H48">
        <f t="shared" si="5"/>
        <v>34.56</v>
      </c>
      <c r="I48">
        <f t="shared" si="5"/>
        <v>34.56</v>
      </c>
      <c r="J48">
        <f t="shared" si="5"/>
        <v>34.56</v>
      </c>
      <c r="K48">
        <f t="shared" si="5"/>
        <v>34.56</v>
      </c>
      <c r="L48">
        <f t="shared" si="5"/>
        <v>34.56</v>
      </c>
      <c r="M48">
        <f t="shared" si="5"/>
        <v>34.56</v>
      </c>
    </row>
    <row r="49" spans="1:13" x14ac:dyDescent="0.35">
      <c r="A49" s="88"/>
      <c r="B49" t="s">
        <v>19</v>
      </c>
      <c r="C49">
        <v>0</v>
      </c>
      <c r="D49">
        <f>$C34*$C27*100</f>
        <v>36</v>
      </c>
      <c r="E49">
        <f t="shared" ref="E49:M49" si="6">$C34*$C27*100</f>
        <v>36</v>
      </c>
      <c r="F49">
        <f t="shared" si="6"/>
        <v>36</v>
      </c>
      <c r="G49">
        <f t="shared" si="6"/>
        <v>36</v>
      </c>
      <c r="H49">
        <f t="shared" si="6"/>
        <v>36</v>
      </c>
      <c r="I49">
        <f t="shared" si="6"/>
        <v>36</v>
      </c>
      <c r="J49">
        <f t="shared" si="6"/>
        <v>36</v>
      </c>
      <c r="K49">
        <f t="shared" si="6"/>
        <v>36</v>
      </c>
      <c r="L49">
        <f t="shared" si="6"/>
        <v>36</v>
      </c>
      <c r="M49">
        <f t="shared" si="6"/>
        <v>36</v>
      </c>
    </row>
    <row r="50" spans="1:13" x14ac:dyDescent="0.35">
      <c r="A50" s="88" t="s">
        <v>36</v>
      </c>
      <c r="B50" t="s">
        <v>122</v>
      </c>
      <c r="C50">
        <f>C27*(1-C30)*100</f>
        <v>900</v>
      </c>
    </row>
    <row r="51" spans="1:13" x14ac:dyDescent="0.35">
      <c r="A51" s="88"/>
      <c r="B51" t="s">
        <v>37</v>
      </c>
      <c r="D51" s="34">
        <f>C50*C28</f>
        <v>9</v>
      </c>
      <c r="E51" s="34">
        <f>D51*(1+$C$29)</f>
        <v>9.4500000000000011</v>
      </c>
      <c r="F51" s="34">
        <f t="shared" ref="F51:M51" si="7">E51*(1+$C$29)</f>
        <v>9.9225000000000012</v>
      </c>
      <c r="G51" s="34">
        <f t="shared" si="7"/>
        <v>10.418625000000002</v>
      </c>
      <c r="H51" s="34">
        <f t="shared" si="7"/>
        <v>10.939556250000003</v>
      </c>
      <c r="I51" s="34">
        <f t="shared" si="7"/>
        <v>11.486534062500002</v>
      </c>
      <c r="J51" s="34">
        <f t="shared" si="7"/>
        <v>12.060860765625003</v>
      </c>
      <c r="K51" s="34">
        <f t="shared" si="7"/>
        <v>12.663903803906255</v>
      </c>
      <c r="L51" s="34">
        <f t="shared" si="7"/>
        <v>13.297098994101567</v>
      </c>
      <c r="M51" s="34">
        <f t="shared" si="7"/>
        <v>13.961953943806646</v>
      </c>
    </row>
    <row r="52" spans="1:13" x14ac:dyDescent="0.35">
      <c r="A52" s="29"/>
      <c r="B52" t="s">
        <v>21</v>
      </c>
      <c r="C52">
        <f t="shared" ref="C52:M52" si="8">SUM(C45:C51)</f>
        <v>1986</v>
      </c>
      <c r="D52">
        <f t="shared" si="8"/>
        <v>79.56</v>
      </c>
      <c r="E52">
        <f t="shared" si="8"/>
        <v>80.010000000000005</v>
      </c>
      <c r="F52">
        <f t="shared" si="8"/>
        <v>80.482500000000002</v>
      </c>
      <c r="G52">
        <f t="shared" si="8"/>
        <v>80.978625000000008</v>
      </c>
      <c r="H52">
        <f t="shared" si="8"/>
        <v>81.499556250000012</v>
      </c>
      <c r="I52">
        <f t="shared" si="8"/>
        <v>82.046534062500001</v>
      </c>
      <c r="J52">
        <f t="shared" si="8"/>
        <v>82.620860765625011</v>
      </c>
      <c r="K52">
        <f t="shared" si="8"/>
        <v>83.223903803906254</v>
      </c>
      <c r="L52">
        <f t="shared" si="8"/>
        <v>83.857098994101563</v>
      </c>
      <c r="M52" s="33">
        <f t="shared" si="8"/>
        <v>84.52195394380665</v>
      </c>
    </row>
    <row r="53" spans="1:13" x14ac:dyDescent="0.35">
      <c r="A53" s="30"/>
      <c r="B53" s="38" t="s">
        <v>91</v>
      </c>
      <c r="C53" s="39">
        <f>C52+NPV(C35,D52:M52)</f>
        <v>2475.8300127881312</v>
      </c>
      <c r="D53" s="31"/>
      <c r="E53" s="31"/>
      <c r="F53" s="31"/>
      <c r="G53" s="31"/>
      <c r="H53" s="31"/>
      <c r="I53" s="31"/>
      <c r="J53" s="31"/>
      <c r="K53" s="31"/>
      <c r="L53" s="31"/>
      <c r="M53" s="32"/>
    </row>
    <row r="55" spans="1:13" ht="44" customHeight="1" thickBot="1" x14ac:dyDescent="0.4">
      <c r="A55" s="36" t="s">
        <v>92</v>
      </c>
      <c r="B55" s="37">
        <f>C42-C53</f>
        <v>2443.2271942633633</v>
      </c>
      <c r="C55" t="s">
        <v>27</v>
      </c>
    </row>
    <row r="58" spans="1:13" x14ac:dyDescent="0.35">
      <c r="A58" s="26" t="s">
        <v>20</v>
      </c>
      <c r="B58" s="27" t="s">
        <v>16</v>
      </c>
      <c r="C58" s="27">
        <v>0</v>
      </c>
      <c r="D58" s="27">
        <v>1</v>
      </c>
      <c r="E58" s="27">
        <v>2</v>
      </c>
      <c r="F58" s="27">
        <v>3</v>
      </c>
      <c r="G58" s="27">
        <v>4</v>
      </c>
      <c r="H58" s="27">
        <v>5</v>
      </c>
      <c r="I58" s="27">
        <v>6</v>
      </c>
      <c r="J58" s="27">
        <v>7</v>
      </c>
      <c r="K58" s="27">
        <v>8</v>
      </c>
      <c r="L58" s="27">
        <v>9</v>
      </c>
      <c r="M58" s="28">
        <v>10</v>
      </c>
    </row>
    <row r="59" spans="1:13" x14ac:dyDescent="0.35">
      <c r="A59" s="88" t="s">
        <v>12</v>
      </c>
      <c r="B59" t="s">
        <v>78</v>
      </c>
      <c r="C59">
        <f>C45</f>
        <v>36</v>
      </c>
      <c r="D59">
        <f t="shared" ref="D59:M59" si="9">D45</f>
        <v>0</v>
      </c>
      <c r="E59">
        <f t="shared" si="9"/>
        <v>0</v>
      </c>
      <c r="F59">
        <f t="shared" si="9"/>
        <v>0</v>
      </c>
      <c r="G59">
        <f t="shared" si="9"/>
        <v>0</v>
      </c>
      <c r="H59">
        <f t="shared" si="9"/>
        <v>0</v>
      </c>
      <c r="I59">
        <f t="shared" si="9"/>
        <v>0</v>
      </c>
      <c r="J59">
        <f t="shared" si="9"/>
        <v>0</v>
      </c>
      <c r="K59">
        <f t="shared" si="9"/>
        <v>0</v>
      </c>
      <c r="L59">
        <f t="shared" si="9"/>
        <v>0</v>
      </c>
      <c r="M59">
        <f t="shared" si="9"/>
        <v>0</v>
      </c>
    </row>
    <row r="60" spans="1:13" x14ac:dyDescent="0.35">
      <c r="A60" s="88"/>
      <c r="B60" t="s">
        <v>121</v>
      </c>
      <c r="C60">
        <f>C19*100</f>
        <v>150</v>
      </c>
    </row>
    <row r="61" spans="1:13" x14ac:dyDescent="0.35">
      <c r="A61" s="88"/>
      <c r="B61" t="s">
        <v>81</v>
      </c>
      <c r="C61">
        <f t="shared" ref="C61:M61" si="10">C47</f>
        <v>900</v>
      </c>
      <c r="D61">
        <f t="shared" si="10"/>
        <v>0</v>
      </c>
      <c r="E61">
        <f t="shared" si="10"/>
        <v>0</v>
      </c>
      <c r="F61">
        <f t="shared" si="10"/>
        <v>0</v>
      </c>
      <c r="G61">
        <f t="shared" si="10"/>
        <v>0</v>
      </c>
      <c r="H61">
        <f t="shared" si="10"/>
        <v>0</v>
      </c>
      <c r="I61">
        <f t="shared" si="10"/>
        <v>0</v>
      </c>
      <c r="J61">
        <f t="shared" si="10"/>
        <v>0</v>
      </c>
      <c r="K61">
        <f t="shared" si="10"/>
        <v>0</v>
      </c>
      <c r="L61">
        <f t="shared" si="10"/>
        <v>0</v>
      </c>
      <c r="M61">
        <f t="shared" si="10"/>
        <v>0</v>
      </c>
    </row>
    <row r="62" spans="1:13" x14ac:dyDescent="0.35">
      <c r="A62" s="88"/>
      <c r="B62" t="s">
        <v>124</v>
      </c>
      <c r="D62">
        <f>(Assumptions!$C$7*'Benefit cost analysis'!$C$20)*$C$23/10^5</f>
        <v>34.56</v>
      </c>
      <c r="E62">
        <f>D62</f>
        <v>34.56</v>
      </c>
      <c r="F62">
        <f t="shared" ref="F62:M62" si="11">E62</f>
        <v>34.56</v>
      </c>
      <c r="G62">
        <f t="shared" si="11"/>
        <v>34.56</v>
      </c>
      <c r="H62">
        <f t="shared" si="11"/>
        <v>34.56</v>
      </c>
      <c r="I62">
        <f t="shared" si="11"/>
        <v>34.56</v>
      </c>
      <c r="J62">
        <f t="shared" si="11"/>
        <v>34.56</v>
      </c>
      <c r="K62">
        <f t="shared" si="11"/>
        <v>34.56</v>
      </c>
      <c r="L62">
        <f t="shared" si="11"/>
        <v>34.56</v>
      </c>
      <c r="M62">
        <f t="shared" si="11"/>
        <v>34.56</v>
      </c>
    </row>
    <row r="63" spans="1:13" x14ac:dyDescent="0.35">
      <c r="A63" s="88"/>
      <c r="B63" t="s">
        <v>19</v>
      </c>
      <c r="C63">
        <f t="shared" ref="C63:M63" si="12">C49</f>
        <v>0</v>
      </c>
      <c r="D63">
        <f t="shared" si="12"/>
        <v>36</v>
      </c>
      <c r="E63">
        <f t="shared" si="12"/>
        <v>36</v>
      </c>
      <c r="F63">
        <f t="shared" si="12"/>
        <v>36</v>
      </c>
      <c r="G63">
        <f t="shared" si="12"/>
        <v>36</v>
      </c>
      <c r="H63">
        <f t="shared" si="12"/>
        <v>36</v>
      </c>
      <c r="I63">
        <f t="shared" si="12"/>
        <v>36</v>
      </c>
      <c r="J63">
        <f t="shared" si="12"/>
        <v>36</v>
      </c>
      <c r="K63">
        <f t="shared" si="12"/>
        <v>36</v>
      </c>
      <c r="L63">
        <f t="shared" si="12"/>
        <v>36</v>
      </c>
      <c r="M63">
        <f t="shared" si="12"/>
        <v>36</v>
      </c>
    </row>
    <row r="64" spans="1:13" x14ac:dyDescent="0.35">
      <c r="A64" s="88"/>
      <c r="B64" t="s">
        <v>82</v>
      </c>
      <c r="D64">
        <f>C31*C18/10^5</f>
        <v>293.76</v>
      </c>
      <c r="E64">
        <f t="shared" ref="E64:M64" si="13">D64*(1+$C24)</f>
        <v>308.44799999999998</v>
      </c>
      <c r="F64">
        <f t="shared" si="13"/>
        <v>323.87040000000002</v>
      </c>
      <c r="G64">
        <f t="shared" si="13"/>
        <v>340.06392000000005</v>
      </c>
      <c r="H64">
        <f t="shared" si="13"/>
        <v>357.06711600000006</v>
      </c>
      <c r="I64">
        <f t="shared" si="13"/>
        <v>374.92047180000009</v>
      </c>
      <c r="J64">
        <f t="shared" si="13"/>
        <v>393.66649539000008</v>
      </c>
      <c r="K64">
        <f t="shared" si="13"/>
        <v>413.3498201595001</v>
      </c>
      <c r="L64">
        <f t="shared" si="13"/>
        <v>434.0173111674751</v>
      </c>
      <c r="M64">
        <f t="shared" si="13"/>
        <v>455.71817672584888</v>
      </c>
    </row>
    <row r="65" spans="1:13" x14ac:dyDescent="0.35">
      <c r="A65" s="29"/>
      <c r="B65" t="s">
        <v>21</v>
      </c>
      <c r="C65">
        <f>SUM(C59:C64)</f>
        <v>1086</v>
      </c>
      <c r="D65">
        <f t="shared" ref="D65:M65" si="14">SUM(D59:D64)</f>
        <v>364.32</v>
      </c>
      <c r="E65">
        <f t="shared" si="14"/>
        <v>379.00799999999998</v>
      </c>
      <c r="F65">
        <f t="shared" si="14"/>
        <v>394.43040000000002</v>
      </c>
      <c r="G65">
        <f t="shared" si="14"/>
        <v>410.62392000000006</v>
      </c>
      <c r="H65">
        <f t="shared" si="14"/>
        <v>427.62711600000006</v>
      </c>
      <c r="I65">
        <f t="shared" si="14"/>
        <v>445.48047180000009</v>
      </c>
      <c r="J65">
        <f t="shared" si="14"/>
        <v>464.22649539000008</v>
      </c>
      <c r="K65">
        <f t="shared" si="14"/>
        <v>483.9098201595001</v>
      </c>
      <c r="L65">
        <f t="shared" si="14"/>
        <v>504.5773111674751</v>
      </c>
      <c r="M65">
        <f t="shared" si="14"/>
        <v>526.27817672584888</v>
      </c>
    </row>
    <row r="66" spans="1:13" x14ac:dyDescent="0.35">
      <c r="A66" s="30"/>
      <c r="B66" s="38" t="s">
        <v>93</v>
      </c>
      <c r="C66" s="39">
        <f>C65+NPV(C35,D65:M65)</f>
        <v>3645.960802572431</v>
      </c>
      <c r="D66" s="31"/>
      <c r="E66" s="31"/>
      <c r="F66" s="31"/>
      <c r="G66" s="31"/>
      <c r="H66" s="31"/>
      <c r="I66" s="31"/>
      <c r="J66" s="31"/>
      <c r="K66" s="31"/>
      <c r="L66" s="31"/>
      <c r="M66" s="32"/>
    </row>
    <row r="68" spans="1:13" ht="29" x14ac:dyDescent="0.35">
      <c r="A68" s="36" t="s">
        <v>94</v>
      </c>
      <c r="B68" s="37">
        <f>C42-C66</f>
        <v>1273.0964044790635</v>
      </c>
      <c r="C68" t="s">
        <v>26</v>
      </c>
    </row>
    <row r="70" spans="1:13" x14ac:dyDescent="0.35">
      <c r="A70" s="26" t="s">
        <v>23</v>
      </c>
      <c r="B70" s="27" t="s">
        <v>16</v>
      </c>
      <c r="C70" s="27">
        <v>0</v>
      </c>
      <c r="D70" s="27">
        <v>1</v>
      </c>
      <c r="E70" s="27">
        <v>2</v>
      </c>
      <c r="F70" s="27">
        <v>3</v>
      </c>
      <c r="G70" s="27">
        <v>4</v>
      </c>
      <c r="H70" s="27">
        <v>5</v>
      </c>
      <c r="I70" s="27">
        <v>6</v>
      </c>
      <c r="J70" s="27">
        <v>7</v>
      </c>
      <c r="K70" s="27">
        <v>8</v>
      </c>
      <c r="L70" s="27">
        <v>9</v>
      </c>
      <c r="M70" s="28">
        <v>10</v>
      </c>
    </row>
    <row r="71" spans="1:13" x14ac:dyDescent="0.35">
      <c r="A71" s="29"/>
      <c r="B71" t="s">
        <v>1</v>
      </c>
      <c r="C71">
        <f>C22</f>
        <v>500000</v>
      </c>
      <c r="D71">
        <f t="shared" ref="D71:M71" si="15">C71*(1+$C21)</f>
        <v>525000</v>
      </c>
      <c r="E71">
        <f t="shared" si="15"/>
        <v>551250</v>
      </c>
      <c r="F71">
        <f t="shared" si="15"/>
        <v>578812.5</v>
      </c>
      <c r="G71">
        <f t="shared" si="15"/>
        <v>607753.125</v>
      </c>
      <c r="H71">
        <f t="shared" si="15"/>
        <v>638140.78125</v>
      </c>
      <c r="I71">
        <f t="shared" si="15"/>
        <v>670047.8203125</v>
      </c>
      <c r="J71">
        <f t="shared" si="15"/>
        <v>703550.21132812498</v>
      </c>
      <c r="K71">
        <f t="shared" si="15"/>
        <v>738727.72189453128</v>
      </c>
      <c r="L71">
        <f t="shared" si="15"/>
        <v>775664.1079892579</v>
      </c>
      <c r="M71">
        <f t="shared" si="15"/>
        <v>814447.31338872085</v>
      </c>
    </row>
    <row r="72" spans="1:13" x14ac:dyDescent="0.35">
      <c r="A72" s="35"/>
      <c r="B72" s="43" t="s">
        <v>24</v>
      </c>
      <c r="C72" s="42">
        <f>(C66-C42)*0.1/SUM(D71:M71)</f>
        <v>-1.9279426386316015E-5</v>
      </c>
      <c r="D72" s="31"/>
      <c r="E72" s="31"/>
      <c r="F72" s="31"/>
      <c r="G72" s="31"/>
      <c r="H72" s="31"/>
      <c r="I72" s="31"/>
      <c r="J72" s="31"/>
      <c r="K72" s="31"/>
      <c r="L72" s="31"/>
      <c r="M72" s="32"/>
    </row>
    <row r="74" spans="1:13" x14ac:dyDescent="0.35">
      <c r="A74" s="26" t="s">
        <v>31</v>
      </c>
      <c r="B74" s="27" t="s">
        <v>16</v>
      </c>
      <c r="C74" s="27">
        <v>0</v>
      </c>
      <c r="D74" s="27">
        <v>1</v>
      </c>
      <c r="E74" s="27">
        <v>2</v>
      </c>
      <c r="F74" s="27">
        <v>3</v>
      </c>
      <c r="G74" s="27">
        <v>4</v>
      </c>
      <c r="H74" s="27">
        <v>5</v>
      </c>
      <c r="I74" s="27">
        <v>6</v>
      </c>
      <c r="J74" s="27">
        <v>7</v>
      </c>
      <c r="K74" s="27">
        <v>8</v>
      </c>
      <c r="L74" s="27">
        <v>9</v>
      </c>
      <c r="M74" s="28">
        <v>10</v>
      </c>
    </row>
    <row r="75" spans="1:13" x14ac:dyDescent="0.35">
      <c r="B75" s="12" t="s">
        <v>125</v>
      </c>
      <c r="D75">
        <f>D64</f>
        <v>293.76</v>
      </c>
      <c r="E75">
        <f t="shared" ref="E75:M75" si="16">E64</f>
        <v>308.44799999999998</v>
      </c>
      <c r="F75">
        <f t="shared" si="16"/>
        <v>323.87040000000002</v>
      </c>
      <c r="G75">
        <f t="shared" si="16"/>
        <v>340.06392000000005</v>
      </c>
      <c r="H75">
        <f t="shared" si="16"/>
        <v>357.06711600000006</v>
      </c>
      <c r="I75">
        <f t="shared" si="16"/>
        <v>374.92047180000009</v>
      </c>
      <c r="J75">
        <f t="shared" si="16"/>
        <v>393.66649539000008</v>
      </c>
      <c r="K75">
        <f t="shared" si="16"/>
        <v>413.3498201595001</v>
      </c>
      <c r="L75">
        <f t="shared" si="16"/>
        <v>434.0173111674751</v>
      </c>
      <c r="M75">
        <f t="shared" si="16"/>
        <v>455.71817672584888</v>
      </c>
    </row>
    <row r="76" spans="1:13" x14ac:dyDescent="0.35">
      <c r="B76" s="12" t="s">
        <v>126</v>
      </c>
      <c r="D76">
        <f>D62</f>
        <v>34.56</v>
      </c>
      <c r="E76">
        <f t="shared" ref="E76:M76" si="17">E62</f>
        <v>34.56</v>
      </c>
      <c r="F76">
        <f t="shared" si="17"/>
        <v>34.56</v>
      </c>
      <c r="G76">
        <f t="shared" si="17"/>
        <v>34.56</v>
      </c>
      <c r="H76">
        <f t="shared" si="17"/>
        <v>34.56</v>
      </c>
      <c r="I76">
        <f t="shared" si="17"/>
        <v>34.56</v>
      </c>
      <c r="J76">
        <f t="shared" si="17"/>
        <v>34.56</v>
      </c>
      <c r="K76">
        <f t="shared" si="17"/>
        <v>34.56</v>
      </c>
      <c r="L76">
        <f t="shared" si="17"/>
        <v>34.56</v>
      </c>
      <c r="M76">
        <f t="shared" si="17"/>
        <v>34.56</v>
      </c>
    </row>
    <row r="77" spans="1:13" x14ac:dyDescent="0.35">
      <c r="B77" s="12" t="s">
        <v>119</v>
      </c>
      <c r="D77">
        <f>SUM(D75:D76)</f>
        <v>328.32</v>
      </c>
      <c r="E77">
        <f t="shared" ref="E77:M77" si="18">SUM(E75:E76)</f>
        <v>343.00799999999998</v>
      </c>
      <c r="F77">
        <f t="shared" si="18"/>
        <v>358.43040000000002</v>
      </c>
      <c r="G77">
        <f t="shared" si="18"/>
        <v>374.62392000000006</v>
      </c>
      <c r="H77">
        <f t="shared" si="18"/>
        <v>391.62711600000006</v>
      </c>
      <c r="I77">
        <f t="shared" si="18"/>
        <v>409.48047180000009</v>
      </c>
      <c r="J77">
        <f t="shared" si="18"/>
        <v>428.22649539000008</v>
      </c>
      <c r="K77">
        <f t="shared" si="18"/>
        <v>447.9098201595001</v>
      </c>
      <c r="L77">
        <f t="shared" si="18"/>
        <v>468.5773111674751</v>
      </c>
      <c r="M77">
        <f t="shared" si="18"/>
        <v>490.27817672584888</v>
      </c>
    </row>
    <row r="78" spans="1:13" x14ac:dyDescent="0.35">
      <c r="B78" s="40" t="s">
        <v>95</v>
      </c>
      <c r="C78" s="41">
        <f>NPV(C35,D77:M77)</f>
        <v>2343.4289839168896</v>
      </c>
    </row>
    <row r="80" spans="1:13" x14ac:dyDescent="0.35">
      <c r="A80" s="26" t="s">
        <v>32</v>
      </c>
      <c r="B80" s="27" t="s">
        <v>16</v>
      </c>
      <c r="C80" s="27">
        <v>0</v>
      </c>
      <c r="D80" s="27">
        <v>1</v>
      </c>
      <c r="E80" s="27">
        <v>2</v>
      </c>
      <c r="F80" s="27">
        <v>3</v>
      </c>
      <c r="G80" s="27">
        <v>4</v>
      </c>
      <c r="H80" s="27">
        <v>5</v>
      </c>
      <c r="I80" s="27">
        <v>6</v>
      </c>
      <c r="J80" s="27">
        <v>7</v>
      </c>
      <c r="K80" s="27">
        <v>8</v>
      </c>
      <c r="L80" s="27">
        <v>9</v>
      </c>
      <c r="M80" s="28">
        <v>10</v>
      </c>
    </row>
    <row r="81" spans="1:13" x14ac:dyDescent="0.35">
      <c r="A81" s="88" t="s">
        <v>36</v>
      </c>
      <c r="B81" s="12" t="s">
        <v>86</v>
      </c>
      <c r="C81">
        <f>C50</f>
        <v>900</v>
      </c>
    </row>
    <row r="82" spans="1:13" x14ac:dyDescent="0.35">
      <c r="A82" s="88"/>
      <c r="B82" s="12" t="s">
        <v>22</v>
      </c>
      <c r="D82" s="59">
        <f>D51</f>
        <v>9</v>
      </c>
      <c r="E82" s="59">
        <f t="shared" ref="E82:M82" si="19">E51</f>
        <v>9.4500000000000011</v>
      </c>
      <c r="F82" s="59">
        <f t="shared" si="19"/>
        <v>9.9225000000000012</v>
      </c>
      <c r="G82" s="59">
        <f t="shared" si="19"/>
        <v>10.418625000000002</v>
      </c>
      <c r="H82" s="59">
        <f t="shared" si="19"/>
        <v>10.939556250000003</v>
      </c>
      <c r="I82" s="59">
        <f t="shared" si="19"/>
        <v>11.486534062500002</v>
      </c>
      <c r="J82" s="59">
        <f t="shared" si="19"/>
        <v>12.060860765625003</v>
      </c>
      <c r="K82" s="59">
        <f t="shared" si="19"/>
        <v>12.663903803906255</v>
      </c>
      <c r="L82" s="59">
        <f t="shared" si="19"/>
        <v>13.297098994101567</v>
      </c>
      <c r="M82" s="59">
        <f t="shared" si="19"/>
        <v>13.961953943806646</v>
      </c>
    </row>
    <row r="83" spans="1:13" x14ac:dyDescent="0.35">
      <c r="B83" s="12" t="s">
        <v>21</v>
      </c>
      <c r="C83">
        <f>SUM(C81:C82)</f>
        <v>900</v>
      </c>
      <c r="D83">
        <f t="shared" ref="D83:M83" si="20">SUM(D81:D82)</f>
        <v>9</v>
      </c>
      <c r="E83">
        <f t="shared" si="20"/>
        <v>9.4500000000000011</v>
      </c>
      <c r="F83">
        <f t="shared" si="20"/>
        <v>9.9225000000000012</v>
      </c>
      <c r="G83">
        <f t="shared" si="20"/>
        <v>10.418625000000002</v>
      </c>
      <c r="H83">
        <f t="shared" si="20"/>
        <v>10.939556250000003</v>
      </c>
      <c r="I83">
        <f t="shared" si="20"/>
        <v>11.486534062500002</v>
      </c>
      <c r="J83">
        <f t="shared" si="20"/>
        <v>12.060860765625003</v>
      </c>
      <c r="K83">
        <f t="shared" si="20"/>
        <v>12.663903803906255</v>
      </c>
      <c r="L83">
        <f t="shared" si="20"/>
        <v>13.297098994101567</v>
      </c>
      <c r="M83">
        <f t="shared" si="20"/>
        <v>13.961953943806646</v>
      </c>
    </row>
    <row r="84" spans="1:13" x14ac:dyDescent="0.35">
      <c r="B84" s="47" t="s">
        <v>96</v>
      </c>
      <c r="C84" s="48">
        <f>C83+NPV(C35,D83:M83)</f>
        <v>965.42764822327115</v>
      </c>
    </row>
    <row r="86" spans="1:13" ht="37.5" customHeight="1" thickBot="1" x14ac:dyDescent="0.4">
      <c r="A86" s="36" t="s">
        <v>97</v>
      </c>
      <c r="B86" s="37">
        <f>C78-C84</f>
        <v>1378.0013356936183</v>
      </c>
    </row>
    <row r="90" spans="1:13" x14ac:dyDescent="0.35">
      <c r="A90" s="26" t="s">
        <v>34</v>
      </c>
      <c r="B90" s="27" t="s">
        <v>16</v>
      </c>
      <c r="C90" s="27">
        <v>0</v>
      </c>
      <c r="D90" s="27">
        <v>1</v>
      </c>
      <c r="E90" s="27">
        <v>2</v>
      </c>
      <c r="F90" s="27">
        <v>3</v>
      </c>
      <c r="G90" s="27">
        <v>4</v>
      </c>
      <c r="H90" s="27">
        <v>5</v>
      </c>
      <c r="I90" s="27">
        <v>6</v>
      </c>
      <c r="J90" s="27">
        <v>7</v>
      </c>
      <c r="K90" s="27">
        <v>8</v>
      </c>
      <c r="L90" s="27">
        <v>9</v>
      </c>
      <c r="M90" s="28">
        <v>10</v>
      </c>
    </row>
    <row r="91" spans="1:13" x14ac:dyDescent="0.35">
      <c r="B91" t="s">
        <v>13</v>
      </c>
      <c r="C91" s="1">
        <v>0.18</v>
      </c>
    </row>
    <row r="92" spans="1:13" x14ac:dyDescent="0.35">
      <c r="B92" t="s">
        <v>14</v>
      </c>
      <c r="C92">
        <v>10.6</v>
      </c>
      <c r="D92" s="46">
        <f>C92*(1+$G$18)</f>
        <v>10.6</v>
      </c>
      <c r="E92" s="46">
        <f t="shared" ref="E92:M92" si="21">D92*(1+$G$18)</f>
        <v>10.6</v>
      </c>
      <c r="F92" s="46">
        <f t="shared" si="21"/>
        <v>10.6</v>
      </c>
      <c r="G92" s="46">
        <f t="shared" si="21"/>
        <v>10.6</v>
      </c>
      <c r="H92" s="46">
        <f t="shared" si="21"/>
        <v>10.6</v>
      </c>
      <c r="I92" s="46">
        <f t="shared" si="21"/>
        <v>10.6</v>
      </c>
      <c r="J92" s="46">
        <f t="shared" si="21"/>
        <v>10.6</v>
      </c>
      <c r="K92" s="46">
        <f t="shared" si="21"/>
        <v>10.6</v>
      </c>
      <c r="L92" s="46">
        <f t="shared" si="21"/>
        <v>10.6</v>
      </c>
      <c r="M92" s="46">
        <f t="shared" si="21"/>
        <v>10.6</v>
      </c>
    </row>
    <row r="93" spans="1:13" x14ac:dyDescent="0.35">
      <c r="B93" t="s">
        <v>101</v>
      </c>
      <c r="C93">
        <v>0</v>
      </c>
      <c r="D93">
        <f t="shared" ref="D93:M93" si="22">$C32*D92/10^5</f>
        <v>964.04210526315796</v>
      </c>
      <c r="E93">
        <f t="shared" si="22"/>
        <v>964.04210526315796</v>
      </c>
      <c r="F93">
        <f t="shared" si="22"/>
        <v>964.04210526315796</v>
      </c>
      <c r="G93">
        <f t="shared" si="22"/>
        <v>964.04210526315796</v>
      </c>
      <c r="H93">
        <f t="shared" si="22"/>
        <v>964.04210526315796</v>
      </c>
      <c r="I93">
        <f t="shared" si="22"/>
        <v>964.04210526315796</v>
      </c>
      <c r="J93">
        <f t="shared" si="22"/>
        <v>964.04210526315796</v>
      </c>
      <c r="K93">
        <f t="shared" si="22"/>
        <v>964.04210526315796</v>
      </c>
      <c r="L93">
        <f t="shared" si="22"/>
        <v>964.04210526315796</v>
      </c>
      <c r="M93">
        <f t="shared" si="22"/>
        <v>964.04210526315796</v>
      </c>
    </row>
    <row r="94" spans="1:13" x14ac:dyDescent="0.35">
      <c r="B94" t="s">
        <v>102</v>
      </c>
      <c r="C94">
        <f t="shared" ref="C94:M94" si="23">SUM(C93)</f>
        <v>0</v>
      </c>
      <c r="D94">
        <f t="shared" si="23"/>
        <v>964.04210526315796</v>
      </c>
      <c r="E94">
        <f t="shared" si="23"/>
        <v>964.04210526315796</v>
      </c>
      <c r="F94">
        <f t="shared" si="23"/>
        <v>964.04210526315796</v>
      </c>
      <c r="G94">
        <f t="shared" si="23"/>
        <v>964.04210526315796</v>
      </c>
      <c r="H94">
        <f t="shared" si="23"/>
        <v>964.04210526315796</v>
      </c>
      <c r="I94">
        <f t="shared" si="23"/>
        <v>964.04210526315796</v>
      </c>
      <c r="J94">
        <f t="shared" si="23"/>
        <v>964.04210526315796</v>
      </c>
      <c r="K94">
        <f t="shared" si="23"/>
        <v>964.04210526315796</v>
      </c>
      <c r="L94">
        <f t="shared" si="23"/>
        <v>964.04210526315796</v>
      </c>
      <c r="M94">
        <f t="shared" si="23"/>
        <v>964.04210526315796</v>
      </c>
    </row>
    <row r="95" spans="1:13" x14ac:dyDescent="0.35">
      <c r="B95" s="40" t="s">
        <v>87</v>
      </c>
      <c r="C95" s="40">
        <f>NPV(C35,D94:M94)</f>
        <v>5798.4941753652165</v>
      </c>
    </row>
    <row r="97" spans="1:13" x14ac:dyDescent="0.35">
      <c r="A97" s="26" t="s">
        <v>33</v>
      </c>
      <c r="B97" s="27" t="s">
        <v>16</v>
      </c>
      <c r="C97" s="27">
        <v>0</v>
      </c>
      <c r="D97" s="27">
        <v>1</v>
      </c>
      <c r="E97" s="27">
        <v>2</v>
      </c>
      <c r="F97" s="27">
        <v>3</v>
      </c>
      <c r="G97" s="27">
        <v>4</v>
      </c>
      <c r="H97" s="27">
        <v>5</v>
      </c>
      <c r="I97" s="27">
        <v>6</v>
      </c>
      <c r="J97" s="27">
        <v>7</v>
      </c>
      <c r="K97" s="27">
        <v>8</v>
      </c>
      <c r="L97" s="27">
        <v>9</v>
      </c>
      <c r="M97" s="28">
        <v>10</v>
      </c>
    </row>
    <row r="98" spans="1:13" x14ac:dyDescent="0.35">
      <c r="B98" t="s">
        <v>100</v>
      </c>
      <c r="C98" s="17">
        <f>(1-C91)*C27*100</f>
        <v>1476.0000000000002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</row>
    <row r="99" spans="1:13" x14ac:dyDescent="0.35">
      <c r="B99" t="s">
        <v>98</v>
      </c>
      <c r="C99">
        <f>SUM(C49,C45)</f>
        <v>36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</row>
    <row r="100" spans="1:13" x14ac:dyDescent="0.35">
      <c r="B100" t="s">
        <v>99</v>
      </c>
      <c r="C100" s="17">
        <f>SUM(C98:C99)</f>
        <v>1512.0000000000002</v>
      </c>
      <c r="D100" s="17">
        <f t="shared" ref="D100:M100" si="24">SUM(D98:D99)</f>
        <v>0</v>
      </c>
      <c r="E100" s="17">
        <f t="shared" si="24"/>
        <v>0</v>
      </c>
      <c r="F100" s="17">
        <f t="shared" si="24"/>
        <v>0</v>
      </c>
      <c r="G100" s="17">
        <f t="shared" si="24"/>
        <v>0</v>
      </c>
      <c r="H100" s="17">
        <f t="shared" si="24"/>
        <v>0</v>
      </c>
      <c r="I100" s="17">
        <f t="shared" si="24"/>
        <v>0</v>
      </c>
      <c r="J100" s="17">
        <f t="shared" si="24"/>
        <v>0</v>
      </c>
      <c r="K100" s="17">
        <f t="shared" si="24"/>
        <v>0</v>
      </c>
      <c r="L100" s="17">
        <f t="shared" si="24"/>
        <v>0</v>
      </c>
      <c r="M100" s="17">
        <f t="shared" si="24"/>
        <v>0</v>
      </c>
    </row>
    <row r="101" spans="1:13" x14ac:dyDescent="0.35">
      <c r="B101" s="49" t="s">
        <v>88</v>
      </c>
      <c r="C101" s="50">
        <f>NPV(C35,D100:M100)+C100</f>
        <v>1512.0000000000002</v>
      </c>
    </row>
    <row r="103" spans="1:13" ht="51.5" customHeight="1" thickBot="1" x14ac:dyDescent="0.4">
      <c r="A103" s="36" t="s">
        <v>89</v>
      </c>
      <c r="B103" s="37">
        <f>C95-C101</f>
        <v>4286.4941753652165</v>
      </c>
    </row>
  </sheetData>
  <mergeCells count="8">
    <mergeCell ref="A33:A34"/>
    <mergeCell ref="A25:A30"/>
    <mergeCell ref="A9:A24"/>
    <mergeCell ref="A59:A64"/>
    <mergeCell ref="A81:A82"/>
    <mergeCell ref="A50:A51"/>
    <mergeCell ref="A31:A32"/>
    <mergeCell ref="A45:A49"/>
  </mergeCells>
  <phoneticPr fontId="9" type="noConversion"/>
  <conditionalFormatting sqref="C5:D5 F5:G5">
    <cfRule type="cellIs" dxfId="1" priority="1" operator="lessThan">
      <formula>0</formula>
    </cfRule>
  </conditionalFormatting>
  <conditionalFormatting sqref="E5">
    <cfRule type="cellIs" dxfId="0" priority="3" operator="greaterThan">
      <formula>0.01</formula>
    </cfRule>
  </conditionalFormatting>
  <pageMargins left="0.7" right="0.7" top="0.75" bottom="0.75" header="0.3" footer="0.3"/>
  <pageSetup orientation="portrait" r:id="rId1"/>
  <ignoredErrors>
    <ignoredError sqref="D83:M83" formulaRange="1"/>
    <ignoredError sqref="E5 D62 E62:M62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43C6777-5B46-4A33-8D20-41BC8103B97F}">
          <x14:formula1>
            <xm:f>Assumptions!$B$19:$B$21</xm:f>
          </x14:formula1>
          <xm:sqref>G14 C17 C1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CAA3B-0184-4470-8559-A957A5D96759}">
  <dimension ref="A1:E28"/>
  <sheetViews>
    <sheetView workbookViewId="0">
      <selection activeCell="D26" sqref="D26"/>
    </sheetView>
  </sheetViews>
  <sheetFormatPr defaultRowHeight="14.5" x14ac:dyDescent="0.35"/>
  <cols>
    <col min="2" max="2" width="47.453125" customWidth="1"/>
    <col min="3" max="3" width="27.7265625" customWidth="1"/>
    <col min="4" max="4" width="32.08984375" bestFit="1" customWidth="1"/>
    <col min="5" max="5" width="37.54296875" bestFit="1" customWidth="1"/>
  </cols>
  <sheetData>
    <row r="1" spans="1:5" ht="15" thickBot="1" x14ac:dyDescent="0.4">
      <c r="A1" s="70"/>
      <c r="B1" s="70" t="s">
        <v>38</v>
      </c>
      <c r="C1" s="70" t="s">
        <v>39</v>
      </c>
      <c r="D1" s="70" t="s">
        <v>40</v>
      </c>
    </row>
    <row r="2" spans="1:5" x14ac:dyDescent="0.35">
      <c r="A2" s="90" t="s">
        <v>51</v>
      </c>
      <c r="B2" s="63" t="s">
        <v>41</v>
      </c>
      <c r="C2" s="75">
        <v>3</v>
      </c>
      <c r="D2" s="76">
        <v>300</v>
      </c>
      <c r="E2" s="77" t="s">
        <v>110</v>
      </c>
    </row>
    <row r="3" spans="1:5" x14ac:dyDescent="0.35">
      <c r="A3" s="91"/>
      <c r="B3" t="s">
        <v>42</v>
      </c>
      <c r="C3" s="77">
        <v>48</v>
      </c>
      <c r="D3" s="78">
        <v>3</v>
      </c>
    </row>
    <row r="4" spans="1:5" x14ac:dyDescent="0.35">
      <c r="A4" s="91"/>
      <c r="B4" t="s">
        <v>43</v>
      </c>
      <c r="C4" s="77">
        <f>C3*C2</f>
        <v>144</v>
      </c>
      <c r="D4" s="78">
        <f>D3*D2</f>
        <v>900</v>
      </c>
    </row>
    <row r="5" spans="1:5" x14ac:dyDescent="0.35">
      <c r="A5" s="91"/>
      <c r="B5" t="s">
        <v>44</v>
      </c>
      <c r="C5" s="77">
        <v>2</v>
      </c>
      <c r="D5" s="78">
        <v>1</v>
      </c>
    </row>
    <row r="6" spans="1:5" x14ac:dyDescent="0.35">
      <c r="A6" s="91"/>
      <c r="B6" t="s">
        <v>45</v>
      </c>
      <c r="C6">
        <v>120</v>
      </c>
      <c r="D6" s="65">
        <v>120</v>
      </c>
    </row>
    <row r="7" spans="1:5" x14ac:dyDescent="0.35">
      <c r="A7" s="91"/>
      <c r="B7" t="s">
        <v>46</v>
      </c>
      <c r="C7">
        <f>C6*C4*C5</f>
        <v>34560</v>
      </c>
      <c r="D7" s="65">
        <f>D6*D4*D5</f>
        <v>108000</v>
      </c>
    </row>
    <row r="8" spans="1:5" x14ac:dyDescent="0.35">
      <c r="A8" s="91"/>
      <c r="B8" t="s">
        <v>48</v>
      </c>
      <c r="C8">
        <f>D7-C7</f>
        <v>73440</v>
      </c>
      <c r="D8" s="65"/>
    </row>
    <row r="9" spans="1:5" x14ac:dyDescent="0.35">
      <c r="A9" s="91"/>
      <c r="B9" t="s">
        <v>47</v>
      </c>
      <c r="C9">
        <v>1200000</v>
      </c>
      <c r="D9" s="65">
        <v>6000</v>
      </c>
    </row>
    <row r="10" spans="1:5" x14ac:dyDescent="0.35">
      <c r="A10" s="91"/>
      <c r="B10" t="s">
        <v>49</v>
      </c>
      <c r="C10">
        <f>C9*C2/10^7</f>
        <v>0.36</v>
      </c>
      <c r="D10" s="65">
        <f>D9*D2/10^7</f>
        <v>0.18</v>
      </c>
    </row>
    <row r="11" spans="1:5" ht="15" thickBot="1" x14ac:dyDescent="0.4">
      <c r="A11" s="92"/>
      <c r="B11" s="66" t="s">
        <v>50</v>
      </c>
      <c r="C11" s="66">
        <f>C10-D10</f>
        <v>0.18</v>
      </c>
      <c r="D11" s="67"/>
    </row>
    <row r="12" spans="1:5" x14ac:dyDescent="0.35">
      <c r="A12" s="90" t="s">
        <v>106</v>
      </c>
      <c r="B12" s="63" t="s">
        <v>52</v>
      </c>
      <c r="C12" s="71">
        <v>5</v>
      </c>
      <c r="D12" s="64"/>
      <c r="E12" s="72" t="s">
        <v>109</v>
      </c>
    </row>
    <row r="13" spans="1:5" x14ac:dyDescent="0.35">
      <c r="A13" s="91"/>
      <c r="B13" t="s">
        <v>53</v>
      </c>
      <c r="C13" s="72">
        <v>3</v>
      </c>
      <c r="D13" s="65"/>
    </row>
    <row r="14" spans="1:5" x14ac:dyDescent="0.35">
      <c r="A14" s="91"/>
      <c r="B14" t="s">
        <v>85</v>
      </c>
      <c r="C14" s="72">
        <v>500000</v>
      </c>
      <c r="D14" s="65"/>
    </row>
    <row r="15" spans="1:5" x14ac:dyDescent="0.35">
      <c r="A15" s="91"/>
      <c r="B15" t="s">
        <v>54</v>
      </c>
      <c r="C15" s="73">
        <v>0.02</v>
      </c>
      <c r="D15" s="65"/>
    </row>
    <row r="16" spans="1:5" x14ac:dyDescent="0.35">
      <c r="A16" s="91"/>
      <c r="B16" t="s">
        <v>55</v>
      </c>
      <c r="C16" s="73">
        <v>0.15</v>
      </c>
      <c r="D16" s="65"/>
    </row>
    <row r="17" spans="1:5" x14ac:dyDescent="0.35">
      <c r="A17" s="91"/>
      <c r="B17" t="s">
        <v>56</v>
      </c>
      <c r="C17" s="73">
        <v>0.05</v>
      </c>
      <c r="D17" s="65"/>
    </row>
    <row r="18" spans="1:5" x14ac:dyDescent="0.35">
      <c r="A18" s="91"/>
      <c r="C18" s="73" t="s">
        <v>113</v>
      </c>
      <c r="D18" s="65" t="s">
        <v>112</v>
      </c>
    </row>
    <row r="19" spans="1:5" x14ac:dyDescent="0.35">
      <c r="A19" s="91"/>
      <c r="B19" t="s">
        <v>65</v>
      </c>
      <c r="C19" s="74">
        <v>4</v>
      </c>
      <c r="D19" s="79">
        <v>100</v>
      </c>
      <c r="E19" s="80" t="s">
        <v>111</v>
      </c>
    </row>
    <row r="20" spans="1:5" x14ac:dyDescent="0.35">
      <c r="A20" s="91"/>
      <c r="B20" t="s">
        <v>66</v>
      </c>
      <c r="C20" s="74">
        <v>10</v>
      </c>
      <c r="D20" s="79">
        <v>200</v>
      </c>
    </row>
    <row r="21" spans="1:5" x14ac:dyDescent="0.35">
      <c r="A21" s="91"/>
      <c r="B21" t="s">
        <v>67</v>
      </c>
      <c r="C21" s="74">
        <v>6</v>
      </c>
      <c r="D21" s="79">
        <v>100</v>
      </c>
    </row>
    <row r="22" spans="1:5" x14ac:dyDescent="0.35">
      <c r="A22" s="91"/>
      <c r="B22" t="s">
        <v>57</v>
      </c>
      <c r="C22" s="1">
        <v>0.5</v>
      </c>
      <c r="D22" s="65"/>
    </row>
    <row r="23" spans="1:5" x14ac:dyDescent="0.35">
      <c r="A23" s="91"/>
      <c r="B23" t="s">
        <v>58</v>
      </c>
      <c r="C23" s="68">
        <v>0.02</v>
      </c>
      <c r="D23" s="65"/>
    </row>
    <row r="24" spans="1:5" x14ac:dyDescent="0.35">
      <c r="A24" s="91"/>
      <c r="B24" t="s">
        <v>59</v>
      </c>
      <c r="C24" s="68">
        <v>0.02</v>
      </c>
      <c r="D24" s="65"/>
    </row>
    <row r="25" spans="1:5" ht="15" thickBot="1" x14ac:dyDescent="0.4">
      <c r="A25" s="92"/>
      <c r="B25" s="66" t="s">
        <v>60</v>
      </c>
      <c r="C25" s="69">
        <v>0.105</v>
      </c>
      <c r="D25" s="67"/>
    </row>
    <row r="28" spans="1:5" ht="46" customHeight="1" x14ac:dyDescent="0.35">
      <c r="B28" s="93"/>
      <c r="C28" s="93"/>
    </row>
  </sheetData>
  <mergeCells count="3">
    <mergeCell ref="A2:A11"/>
    <mergeCell ref="B28:C28"/>
    <mergeCell ref="A12:A25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Y E A A B Q S w M E F A A C A A g A C n 5 b V 0 r N x q G k A A A A 9 g A A A B I A H A B D b 2 5 m a W c v U G F j a 2 F n Z S 5 4 b W w g o h g A K K A U A A A A A A A A A A A A A A A A A A A A A A A A A A A A h Y + x D o I w F E V / h X S n L X U x 5 F E H J x M x J i b G t S k V G u F h a L H 8 m 4 O f 5 C + I U d T N 8 Z 5 7 h n v v 1 x s s h q a O L q Z z t s W M J J S T y K B u C 4 t l R n p / j O d k I W G r 9 E m V J h p l d O n g i o x U 3 p 9 T x k I I N M x o 2 5 V M c J 6 w Q 7 7 e 6 c o 0 i n x k + 1 + O L T q v U B s i Y f 8 a I w V N R E I F F 5 Q D m y D k F r / C 2 P N n + w N h 2 d e + 7 4 w 0 G K 8 2 w K Y I 7 P 1 B P g B Q S w M E F A A C A A g A C n 5 b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p + W 1 c L 2 y E I Y A E A A B w C A A A T A B w A R m 9 y b X V s Y X M v U 2 V j d G l v b j E u b S C i G A A o o B Q A A A A A A A A A A A A A A A A A A A A A A A A A A A B t j 1 9 r w j A U x d 8 F v 8 M l I r R Q o 9 U x Y d K H T j s s z F Z q n Q / i Q 2 z j H 0 g T S S I y i t 9 9 q X Y O h s l D b u 4 5 9 / C 7 i m b 6 K D g s 7 q 8 7 a j a a D X U g k u b Q Q i n Z M u r 2 B m D N y Z 7 C 0 O 0 M + z Y C D x j V z Q a Y s x B n m V H T m e c 7 f L M r a 0 W 3 e C y 4 p l w r C x 2 0 P q m 3 b v d y u e C c s s N R s T z D Q u 6 7 C V W 3 a d X 1 o 2 j p f 7 b 7 v S S Y x 0 l q C n P d T r + P c 5 G Z n + X a + J T v k O 3 A O i x O j B Y m m 1 T A H n L x A G 1 s 5 4 7 z A P Z q s n I d 5 t 5 j D 7 S 5 r i d E k 0 1 t b 6 G 5 F I X Q Z t k p J T m V q l r u 5 s a 1 U v e t 3 w h D U C s + Y 4 u M M C K V p + W Z P h h a a H w g f G 8 y 0 + 8 T / Q t M J e F q J 2 Q x F u x c 8 E p U 1 h M C p y z R Z + x P I A l m f h g F E / D f 4 6 8 A w g h m K + R A y P X r C 6 7 G r w 6 U a L J M / D S M o 0 q f x s t k Y S z a i M D P x Z b K m 8 d q 2 x B / Q B r O g n / q 1 W 4 2 j v w p + O g H U E s B A i 0 A F A A C A A g A C n 5 b V 0 r N x q G k A A A A 9 g A A A B I A A A A A A A A A A A A A A A A A A A A A A E N v b m Z p Z y 9 Q Y W N r Y W d l L n h t b F B L A Q I t A B Q A A g A I A A p + W 1 c P y u m r p A A A A O k A A A A T A A A A A A A A A A A A A A A A A P A A A A B b Q 2 9 u d G V u d F 9 U e X B l c 1 0 u e G 1 s U E s B A i 0 A F A A C A A g A C n 5 b V w v b I Q h g A Q A A H A I A A B M A A A A A A A A A A A A A A A A A 4 Q E A A E Z v c m 1 1 b G F z L 1 N l Y 3 R p b 2 4 x L m 1 Q S w U G A A A A A A M A A w D C A A A A j g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D g s A A A A A A A D s C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x M D M l M j A o U G F n Z S U y M D c x L T c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E w L T I 1 V D E x O j Q 0 O j I y L j A 2 M T c w O T F a I i A v P j x F b n R y e S B U e X B l P S J G a W x s Q 2 9 s d W 1 u V H l w Z X M i I F Z h b H V l P S J z Q X d V R i I g L z 4 8 R W 5 0 c n k g V H l w Z T 0 i R m l s b E N v b H V t b k 5 h b W V z I i B W Y W x 1 Z T 0 i c 1 s m c X V v d D t M T 0 F E I F J F T U F J T k V E I E F C T 1 Z F I E l O I E 1 X J n F 1 b 3 Q 7 L C Z x d W 9 0 O 0 R V U k F U S U 9 O I E l O I E h P V V J T J n F 1 b 3 Q 7 L C Z x d W 9 0 O y g l K S B P R i B U S U 1 F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M D M g K F B h Z 2 U g N z E t N z I p L 0 F 1 d G 9 S Z W 1 v d m V k Q 2 9 s d W 1 u c z E u e 0 x P Q U Q g U k V N Q U l O R U Q g Q U J P V k U g S U 4 g T V c s M H 0 m c X V v d D s s J n F 1 b 3 Q 7 U 2 V j d G l v b j E v V G F i b G U x M D M g K F B h Z 2 U g N z E t N z I p L 0 F 1 d G 9 S Z W 1 v d m V k Q 2 9 s d W 1 u c z E u e 0 R V U k F U S U 9 O I E l O I E h P V V J T L D F 9 J n F 1 b 3 Q 7 L C Z x d W 9 0 O 1 N l Y 3 R p b 2 4 x L 1 R h Y m x l M T A z I C h Q Y W d l I D c x L T c y K S 9 B d X R v U m V t b 3 Z l Z E N v b H V t b n M x L n s o J S k g T 0 Y g V E l N R S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E w M y A o U G F n Z S A 3 M S 0 3 M i k v Q X V 0 b 1 J l b W 9 2 Z W R D b 2 x 1 b W 5 z M S 5 7 T E 9 B R C B S R U 1 B S U 5 F R C B B Q k 9 W R S B J T i B N V y w w f S Z x d W 9 0 O y w m c X V v d D t T Z W N 0 a W 9 u M S 9 U Y W J s Z T E w M y A o U G F n Z S A 3 M S 0 3 M i k v Q X V 0 b 1 J l b W 9 2 Z W R D b 2 x 1 b W 5 z M S 5 7 R F V S Q V R J T 0 4 g S U 4 g S E 9 V U l M s M X 0 m c X V v d D s s J n F 1 b 3 Q 7 U 2 V j d G l v b j E v V G F i b G U x M D M g K F B h Z 2 U g N z E t N z I p L 0 F 1 d G 9 S Z W 1 v d m V k Q 2 9 s d W 1 u c z E u e y g l K S B P R i B U S U 1 F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E w M y U y M C h Q Y W d l J T I w N z E t N z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T A z J T I w K F B h Z 2 U l M j A 3 M S 0 3 M i k v V G F i b G U x M D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w M y U y M C h Q Y W d l J T I w N z E t N z I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T A z J T I w K F B h Z 2 U l M j A 3 M S 0 3 M i k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J u S 1 T x 3 z i 0 m B C x t o 3 + + v o Q A A A A A C A A A A A A A Q Z g A A A A E A A C A A A A C B 9 k W g 9 c W K Z T w u 8 S s T r M e e C 8 3 u b 2 7 0 8 U N d 6 s y I d + w v 3 Q A A A A A O g A A A A A I A A C A A A A D L d I M h R + K G q W 7 S 4 R l e s k 8 x 4 O q F t M d 9 C Y C 6 Q J s P 2 m y 5 s l A A A A D V 8 v 9 K m T D 7 1 S w C W Y P J C M u c O t U I a o Q w U C 0 j 7 y K S g S 6 Z U 2 U w Z j n S X Q P u R d l / R x 5 Q S r 2 x O S H H j 3 0 K D m A c r Q j t v v J / + k d 5 m i O P s D m 0 c P m o a 7 Y T 2 U A A A A A X p V c + G 1 g s M 2 m g g g O v Q x 0 f N h y W 1 c M s v s a r v 6 i 3 v 7 5 1 w H Y m L r 2 p m U 3 d L h d 7 W x B E r s r Q R s F W a o N D X s 7 N V y G P b 1 y K < / D a t a M a s h u p > 
</file>

<file path=customXml/itemProps1.xml><?xml version="1.0" encoding="utf-8"?>
<ds:datastoreItem xmlns:ds="http://schemas.openxmlformats.org/officeDocument/2006/customXml" ds:itemID="{18920EDA-93D0-4C17-B7A5-2791C1569E8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Benefit cost analysis</vt:lpstr>
      <vt:lpstr>Assumptions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Kaustubh</dc:creator>
  <cp:lastModifiedBy>Kaustubh Arekar</cp:lastModifiedBy>
  <dcterms:created xsi:type="dcterms:W3CDTF">2015-06-05T18:17:20Z</dcterms:created>
  <dcterms:modified xsi:type="dcterms:W3CDTF">2025-02-27T11:39:15Z</dcterms:modified>
</cp:coreProperties>
</file>