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y Drive\CB_Calculators\04_Magnetics_Designer_Suite\"/>
    </mc:Choice>
  </mc:AlternateContent>
  <xr:revisionPtr revIDLastSave="0" documentId="13_ncr:1_{5DBDEEA1-03D8-4334-ADFB-C0CBCF5ABEF4}" xr6:coauthVersionLast="47" xr6:coauthVersionMax="47" xr10:uidLastSave="{00000000-0000-0000-0000-000000000000}"/>
  <bookViews>
    <workbookView xWindow="28680" yWindow="-120" windowWidth="29040" windowHeight="15720" tabRatio="500" activeTab="3" xr2:uid="{00000000-000D-0000-FFFF-FFFF00000000}"/>
  </bookViews>
  <sheets>
    <sheet name="Index" sheetId="1" r:id="rId1"/>
    <sheet name="Inputs" sheetId="2" r:id="rId2"/>
    <sheet name="Process" sheetId="3" r:id="rId3"/>
    <sheet name="Report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4" l="1"/>
  <c r="C14" i="4"/>
  <c r="C13" i="4"/>
  <c r="C12" i="4"/>
  <c r="C11" i="4"/>
  <c r="C40" i="3"/>
  <c r="C39" i="3"/>
  <c r="C31" i="3"/>
  <c r="C18" i="3"/>
  <c r="C13" i="3"/>
  <c r="C33" i="3" s="1"/>
  <c r="C12" i="3"/>
  <c r="C11" i="3"/>
  <c r="C10" i="3"/>
  <c r="C9" i="3"/>
  <c r="C22" i="3" s="1"/>
  <c r="C23" i="3" s="1"/>
  <c r="C42" i="2"/>
  <c r="C17" i="4" s="1"/>
  <c r="C41" i="2"/>
  <c r="C16" i="4" s="1"/>
  <c r="C38" i="2"/>
  <c r="C37" i="2"/>
  <c r="C32" i="3" l="1"/>
  <c r="C26" i="4" s="1"/>
  <c r="C39" i="2"/>
  <c r="C40" i="2" s="1"/>
  <c r="C24" i="4"/>
  <c r="C45" i="3"/>
  <c r="C40" i="4" s="1"/>
  <c r="C43" i="2"/>
  <c r="C22" i="4"/>
  <c r="C16" i="3"/>
  <c r="C17" i="3"/>
  <c r="C14" i="3" l="1"/>
  <c r="C26" i="3" s="1"/>
  <c r="C47" i="3" s="1"/>
  <c r="C42" i="4" s="1"/>
  <c r="C18" i="4"/>
  <c r="C25" i="4"/>
  <c r="C15" i="3"/>
  <c r="C24" i="3" l="1"/>
  <c r="C25" i="3" s="1"/>
  <c r="C48" i="3"/>
  <c r="C43" i="4" s="1"/>
  <c r="C46" i="3"/>
  <c r="C41" i="4" s="1"/>
  <c r="C34" i="3" l="1"/>
  <c r="B30" i="4" s="1"/>
  <c r="C23" i="4"/>
  <c r="C41" i="3" l="1"/>
  <c r="B33" i="4" s="1"/>
  <c r="C35" i="4"/>
  <c r="C36" i="4" l="1"/>
</calcChain>
</file>

<file path=xl/sharedStrings.xml><?xml version="1.0" encoding="utf-8"?>
<sst xmlns="http://schemas.openxmlformats.org/spreadsheetml/2006/main" count="280" uniqueCount="192">
  <si>
    <t>CIRCUIT BRILLIANCE</t>
  </si>
  <si>
    <t>Planar Transformer Leakage Inductance Calculator</t>
  </si>
  <si>
    <t>WHAT THIS TOOL DOES</t>
  </si>
  <si>
    <t>►  Estimates leakage inductance of planar transformers using Roth's 1D analytical field method with fringing and bowing corrections, validated against Ansys Maxwell 2D FEA.</t>
  </si>
  <si>
    <t>►  Supports multilayer PCB winding stacks, interleaved and non-interleaved configurations, and arbitrary trace geometries within the window area.</t>
  </si>
  <si>
    <t>►  Two results are provided: L_leak_1D (base analytical result) and L_leak_actual (empirically corrected using FH and FV fill factors).</t>
  </si>
  <si>
    <t>►  Result accuracy: ±10% or better for horizontal fill factor FH &gt; 0.6 and vertical fill factor FV &gt; 0.4.</t>
  </si>
  <si>
    <t>VALID USE SCOPE</t>
  </si>
  <si>
    <t>►  Planar PCB transformers with rectangular copper trace windings in standard magnetic core windows (EQ, ER, PLT, ELP series).</t>
  </si>
  <si>
    <t>►  Both interleaved (m &gt; 1) and non-interleaved (m = 1) winding arrangements. Set m = 1 for all-primary then all-secondary stacks.</t>
  </si>
  <si>
    <t>►  Air gap presence does NOT affect leakage inductance — this tool is equally valid for gapped and ungapped cores.</t>
  </si>
  <si>
    <t>►  NOT valid for: litz wire, round-wire bobbins, or conductor width &gt; 95% of window width.</t>
  </si>
  <si>
    <t>FREE LICENSE &amp; DISTRIBUTION</t>
  </si>
  <si>
    <t>►  Provided free of charge by Circuit Brilliance for the power electronics engineering community.</t>
  </si>
  <si>
    <t>►  You may use, copy, and share freely for engineering reference. You may not modify and redistribute as your own work. Commercial resale is not permitted.</t>
  </si>
  <si>
    <t>►  Circuit Brilliance retains all intellectual property rights in the methodology, structure, and presentation of this tool.</t>
  </si>
  <si>
    <t>ENGINEERING DISCLAIMER</t>
  </si>
  <si>
    <t>►  Results are based on the Roth 1D analytical model with a width/height aspect-ratio Rogowski factor and Np²/m turns scaling, validated against four Ansys Maxwell 2D FEA geometries spanning 2-layer to 6-layer stacks (10–20mm windows). Observed accuracy: +1.0% to +5.3% across all four cases.</t>
  </si>
  <si>
    <t>►  The Np²/m turns scaling has only been validated for designs where Np = m (turns equal interleaving boundaries, as in all four test cases). Designs with Np ≠ m should be treated as analytical estimates pending further validation.</t>
  </si>
  <si>
    <t>►  All critical design decisions must be validated through full engineering analysis before fabrication release.</t>
  </si>
  <si>
    <t>SHEET NAVIGATION</t>
  </si>
  <si>
    <t>Index</t>
  </si>
  <si>
    <t>This sheet — overview, license, disclaimer, navigation</t>
  </si>
  <si>
    <t>Inputs</t>
  </si>
  <si>
    <t>Enter core geometry, winding stack, and layer definitions</t>
  </si>
  <si>
    <t>Process</t>
  </si>
  <si>
    <t>Calculation engine — Roth 1D formula + corrections (do not edit)</t>
  </si>
  <si>
    <t>Report</t>
  </si>
  <si>
    <t>Results summary and printable design report</t>
  </si>
  <si>
    <t>EV Power Electronics  |  Battery Management Systems  |  Renewable Energy  |  Power Converters</t>
  </si>
  <si>
    <t>Enter values in the BLUE cells only. Do not edit white or grey formula cells.</t>
  </si>
  <si>
    <t xml:space="preserve">  SECTION A — CORE WINDOW GEOMETRY</t>
  </si>
  <si>
    <t>Parameter</t>
  </si>
  <si>
    <t>Value</t>
  </si>
  <si>
    <t>Unit</t>
  </si>
  <si>
    <t>Guidance</t>
  </si>
  <si>
    <t>Window Width  (w_window)</t>
  </si>
  <si>
    <t>mm</t>
  </si>
  <si>
    <t>Clear internal window width between winding pillar faces.</t>
  </si>
  <si>
    <t>Window Height  (H_window)</t>
  </si>
  <si>
    <t>Total available window height — sum of all layer thicknesses must be ≤ H_window.</t>
  </si>
  <si>
    <t>Mean Turn Length  (MTL / lw)</t>
  </si>
  <si>
    <t>Average copper track length per turn. Measure from core datasheet or PCB layout.</t>
  </si>
  <si>
    <t xml:space="preserve">  SECTION B — WINDING STACK   (list layers bottom → top)</t>
  </si>
  <si>
    <t>►  For NON-INTERLEAVED windings: list all Primary layers first, then all Secondary layers. Set m = 1 in Section C.</t>
  </si>
  <si>
    <t>►  For INTERLEAVED windings (P-S-P-S): alternate P and S layers. Set m = number of P-S interfaces in Section C.</t>
  </si>
  <si>
    <t>Layer</t>
  </si>
  <si>
    <t>Trace Width (mm)</t>
  </si>
  <si>
    <t>Cu Thickness (µm)</t>
  </si>
  <si>
    <t>Turns (N)</t>
  </si>
  <si>
    <t>Type  P or S</t>
  </si>
  <si>
    <t>Layer 1 — Primary</t>
  </si>
  <si>
    <t>P</t>
  </si>
  <si>
    <t>Layer 2 — Secondary</t>
  </si>
  <si>
    <t>S</t>
  </si>
  <si>
    <t>Layer 7  (add if needed)</t>
  </si>
  <si>
    <t>Layer 8  (add if needed)</t>
  </si>
  <si>
    <t xml:space="preserve">  SECTION C — INSULATION &amp; INTERLEAVING</t>
  </si>
  <si>
    <t>Insulation Thickness between layers  (h_ins)</t>
  </si>
  <si>
    <t>µm</t>
  </si>
  <si>
    <t>Prepreg or Kapton thickness between each copper layer. Assumed uniform across all layers.</t>
  </si>
  <si>
    <t>Number of interleaving boundaries  (m)</t>
  </si>
  <si>
    <t>—</t>
  </si>
  <si>
    <t>Non-interleaved (P then S): m = 1.   P-S-P-S: m = 2.   Leakage reduces as m increases.</t>
  </si>
  <si>
    <t>⚡ Scope note: Leakage inductance scales with turns as Np²/m. This has only been Ansys-validated for Np = m (turns-per-winding equal to interleaving boundary count, as in Cases 1–4 below). For Np ≠ m configurations, treat results as analytical estimates pending further FEA validation.</t>
  </si>
  <si>
    <t xml:space="preserve">  SECTION D — AIR GAP  (reference only — not used in calculation)</t>
  </si>
  <si>
    <t>►  Air gap does NOT affect leakage inductance. Leakage is determined solely by winding geometry and insulation thickness.</t>
  </si>
  <si>
    <t>►  Enter gap length below for your own reference only.</t>
  </si>
  <si>
    <t>Air gap length  (lg)  — reference only</t>
  </si>
  <si>
    <t>Reference only — not used in any calculation</t>
  </si>
  <si>
    <t xml:space="preserve">  SECTION E — DERIVED GEOMETRY  (calculated automatically — do not edit)</t>
  </si>
  <si>
    <t>Note</t>
  </si>
  <si>
    <t>Total copper thickness  (h_cu_total)</t>
  </si>
  <si>
    <t>Sum of all copper layer thicknesses ÷ 1000</t>
  </si>
  <si>
    <t>Total insulation thickness  (h_ins_total)</t>
  </si>
  <si>
    <t>(N layers − 1) × h_ins ÷ 1000</t>
  </si>
  <si>
    <t>Total stack height  (H_stack)</t>
  </si>
  <si>
    <t>h_cu_total + h_ins_total</t>
  </si>
  <si>
    <t>Vertical fill factor  (F_V)</t>
  </si>
  <si>
    <t>H_stack / H_window — target &gt; 0.4</t>
  </si>
  <si>
    <t>Primary turns total  (Np)</t>
  </si>
  <si>
    <t>Sum of turns in Primary layers</t>
  </si>
  <si>
    <t>Secondary turns total  (Ns)</t>
  </si>
  <si>
    <t>Sum of turns in Secondary layers</t>
  </si>
  <si>
    <t>Turns ratio  (n = Np / Ns)</t>
  </si>
  <si>
    <t>Primary to secondary turns ratio</t>
  </si>
  <si>
    <t>Circuit Brilliance  |  circuitbrilliance.com  |  Power Electronics PCB Design Services</t>
  </si>
  <si>
    <t xml:space="preserve">  STEP 1 — INPUTS (pulled from Inputs sheet)</t>
  </si>
  <si>
    <t>Source</t>
  </si>
  <si>
    <t>Window width  w_window</t>
  </si>
  <si>
    <t>Inputs C7</t>
  </si>
  <si>
    <t>Window height  H_window</t>
  </si>
  <si>
    <t>Inputs C8</t>
  </si>
  <si>
    <t>Mean turn length  MTL (lw)</t>
  </si>
  <si>
    <t>Inputs C9</t>
  </si>
  <si>
    <t>Insulation thickness  h_ins</t>
  </si>
  <si>
    <t>Inputs C27</t>
  </si>
  <si>
    <t>Interleaving boundaries  m</t>
  </si>
  <si>
    <t>Inputs C28</t>
  </si>
  <si>
    <t>Total stack height  H_stack</t>
  </si>
  <si>
    <t>Inputs C39</t>
  </si>
  <si>
    <t>Vertical fill factor  F_V</t>
  </si>
  <si>
    <t>Inputs C40</t>
  </si>
  <si>
    <t>Primary turns  Np</t>
  </si>
  <si>
    <t>Inputs C41</t>
  </si>
  <si>
    <t>Secondary turns  Ns</t>
  </si>
  <si>
    <t>Inputs C42</t>
  </si>
  <si>
    <t>Average Cu thickness  h_cu_avg</t>
  </si>
  <si>
    <t>Average of filled copper thickness cells</t>
  </si>
  <si>
    <t xml:space="preserve">  STEP 2 — GEOMETRIC INTERMEDIATE QUANTITIES</t>
  </si>
  <si>
    <t>Quantity</t>
  </si>
  <si>
    <t>Effective trace width  w_eff  (fringing corrected)</t>
  </si>
  <si>
    <t>Horizontal fill factor  F_H</t>
  </si>
  <si>
    <t>Rogowski factor  K_R  (width/height aspect-ratio form)</t>
  </si>
  <si>
    <t>Effective stack height  H_eff  =  K_R × H_stack</t>
  </si>
  <si>
    <t>Window aspect ratio  α  =  w_window / H_stack</t>
  </si>
  <si>
    <t xml:space="preserve">  STEP 3 — ROTH 1D LEAKAGE FORMULA</t>
  </si>
  <si>
    <t>L_leak_1D = (Np²/m) × (µ₀×lw/w_eff) × [2h_cu/3+h_ins] × K_R   (h_cu, h_ins in µm; lw, w_eff in mm; result in nH)</t>
  </si>
  <si>
    <t>µ₀  (permeability of free space)</t>
  </si>
  <si>
    <t>H/m</t>
  </si>
  <si>
    <t>4π×10⁻⁷ H/m — physical constant</t>
  </si>
  <si>
    <t>Bracket term  [2×h_cu/3 + h_ins]</t>
  </si>
  <si>
    <t>h_cu and h_ins both in µm</t>
  </si>
  <si>
    <t>Interleaving energy factor  (m² + m/3)</t>
  </si>
  <si>
    <t>Accounts for MMF profile shape in interleaved stacks</t>
  </si>
  <si>
    <t>L_leak_1D — base result (includes Np²/m turns scaling)</t>
  </si>
  <si>
    <t>nH</t>
  </si>
  <si>
    <t xml:space="preserve">  STEP 4 — EMPIRICAL CORRECTION  (Path 1 — fringing + bowing)</t>
  </si>
  <si>
    <t>α  (fringing correction coefficient)</t>
  </si>
  <si>
    <t>Empirical — fitted to Ansys FEA data. Captures horizontal fringing.</t>
  </si>
  <si>
    <t>β  (bowing correction coefficient)</t>
  </si>
  <si>
    <t>Empirical — fitted to Ansys FEA data. Captures vertical flux bowing.</t>
  </si>
  <si>
    <t>L_leak_actual  — empirically corrected result</t>
  </si>
  <si>
    <t xml:space="preserve">  STEP 5 — ACCURACY FLAGS</t>
  </si>
  <si>
    <t>Check</t>
  </si>
  <si>
    <t>Status</t>
  </si>
  <si>
    <t>F_H check  (horizontal fill)</t>
  </si>
  <si>
    <t>F_V check  (vertical fill)</t>
  </si>
  <si>
    <t>Aspect ratio  α check</t>
  </si>
  <si>
    <t>Overall accuracy rating</t>
  </si>
  <si>
    <t xml:space="preserve">  DESIGN INPUTS</t>
  </si>
  <si>
    <t>Core window width</t>
  </si>
  <si>
    <t>Core window height</t>
  </si>
  <si>
    <t>Mean Turn Length  (MTL)</t>
  </si>
  <si>
    <t>Average turn perimeter</t>
  </si>
  <si>
    <t>Insulation Thickness  (h_ins)</t>
  </si>
  <si>
    <t>Between-layer dielectric</t>
  </si>
  <si>
    <t>Interleaving boundaries  (m)</t>
  </si>
  <si>
    <t>1 = non-interleaved</t>
  </si>
  <si>
    <t>Primary turns  (Np)</t>
  </si>
  <si>
    <t>Total primary turns</t>
  </si>
  <si>
    <t>Secondary turns  (Ns)</t>
  </si>
  <si>
    <t>Total secondary turns</t>
  </si>
  <si>
    <t>Turns ratio  (n = Np/Ns)</t>
  </si>
  <si>
    <t>Referred to primary</t>
  </si>
  <si>
    <t xml:space="preserve">  KEY INTERMEDIATE VALUES</t>
  </si>
  <si>
    <t>Significance</t>
  </si>
  <si>
    <t>Effective trace width  w_eff</t>
  </si>
  <si>
    <t>Fringing-corrected width</t>
  </si>
  <si>
    <t>Rogowski factor  K_R</t>
  </si>
  <si>
    <t>Vertical flux compression factor</t>
  </si>
  <si>
    <t>Accuracy flag — target &gt; 0.6</t>
  </si>
  <si>
    <t>Accuracy flag — target &gt; 0.4</t>
  </si>
  <si>
    <t>Bracket term [2h_cu/3+h_ins]</t>
  </si>
  <si>
    <t>Core of the 1D formula</t>
  </si>
  <si>
    <t xml:space="preserve">  RESULTS</t>
  </si>
  <si>
    <t>Analytical result  (L_leak_1D)  — Roth 1D formula</t>
  </si>
  <si>
    <t>Referred to primary — base analytical value</t>
  </si>
  <si>
    <t>Corrected result  (L_leak_actual)  — empirical correction  [valid when FH &lt;= 1.0 and FV &gt;= 0.3]</t>
  </si>
  <si>
    <t>Bypassed if FH &gt; 1 or FV &lt; 0.3 — equals L_leak_1D in those cases</t>
  </si>
  <si>
    <t>L_leak_1D referred to secondary  (÷ n²)</t>
  </si>
  <si>
    <t>Divide primary result by n² to refer to secondary</t>
  </si>
  <si>
    <t>L_leak_actual referred to secondary  (÷ n²)</t>
  </si>
  <si>
    <t xml:space="preserve">  ACCURACY ASSESSMENT</t>
  </si>
  <si>
    <t>Horizontal fill F_H</t>
  </si>
  <si>
    <t>Vertical fill F_V</t>
  </si>
  <si>
    <t>Aspect ratio α</t>
  </si>
  <si>
    <t>DISCLAIMER</t>
  </si>
  <si>
    <t>►  Results use the Roth 1D model with a width/height aspect-ratio Rogowski factor, validated against four Ansys Maxwell 2D FEA geometries. Observed accuracy +1.0% to +5.3%. Np²/m scaling validated only for Np = m configurations.</t>
  </si>
  <si>
    <t>►  This tool does not account for 3D end-effects, non-rectangular trace cross-sections, or via-induced flux distortions. Validate production designs with full 3D FEA.</t>
  </si>
  <si>
    <t>►  Circuit Brilliance accepts no liability for designs based solely on these results. All critical decisions must be validated before fabrication release.</t>
  </si>
  <si>
    <t>Circuit Brilliance  |  circuitbrilliance.com  |  EV  |  BMS  |  Renewable Energy  |  Power Converters</t>
  </si>
  <si>
    <t>Layer 3 — Primary</t>
  </si>
  <si>
    <t>Layer 4 — Secondary</t>
  </si>
  <si>
    <t>Layer 5  — Primary</t>
  </si>
  <si>
    <t>Layer 6 — Secondary</t>
  </si>
  <si>
    <t>Planar Transformer Leakage Inductance Calculator |  Magnetics Designer Suite</t>
  </si>
  <si>
    <t>circuitbrilliance.com  |  Version 1.2  |  June 2026</t>
  </si>
  <si>
    <t>REPORT</t>
  </si>
  <si>
    <t>PROCESS</t>
  </si>
  <si>
    <t>INPUT</t>
  </si>
  <si>
    <t>Magnetics Designer 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</si>
</sst>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00"/>
  </numFmts>
  <fonts count="36" x14ac:knownFonts="1">
    <font>
      <sz val="11"/>
      <color theme="1"/>
      <name val="Calibri"/>
      <family val="2"/>
      <charset val="1"/>
    </font>
    <font>
      <b/>
      <sz val="20"/>
      <color rgb="FF0D2B55"/>
      <name val="Arial"/>
      <charset val="1"/>
    </font>
    <font>
      <b/>
      <sz val="11"/>
      <color rgb="FFC8A850"/>
      <name val="Arial"/>
      <charset val="1"/>
    </font>
    <font>
      <b/>
      <sz val="14"/>
      <color rgb="FF0D2B55"/>
      <name val="Arial"/>
      <charset val="1"/>
    </font>
    <font>
      <i/>
      <sz val="9"/>
      <color rgb="FF666666"/>
      <name val="Arial"/>
      <charset val="1"/>
    </font>
    <font>
      <b/>
      <sz val="10"/>
      <color rgb="FF0D2B55"/>
      <name val="Arial"/>
      <charset val="1"/>
    </font>
    <font>
      <sz val="10"/>
      <color rgb="FF444444"/>
      <name val="Arial"/>
      <charset val="1"/>
    </font>
    <font>
      <sz val="10"/>
      <color rgb="FF8B0000"/>
      <name val="Arial"/>
      <charset val="1"/>
    </font>
    <font>
      <b/>
      <sz val="9"/>
      <color rgb="FFC8A850"/>
      <name val="Arial"/>
      <charset val="1"/>
    </font>
    <font>
      <i/>
      <sz val="9"/>
      <color rgb="FF8B0000"/>
      <name val="Arial"/>
      <charset val="1"/>
    </font>
    <font>
      <b/>
      <sz val="9"/>
      <color rgb="FF0D2B55"/>
      <name val="Arial"/>
      <charset val="1"/>
    </font>
    <font>
      <sz val="10"/>
      <color rgb="FF0000FF"/>
      <name val="Arial"/>
      <charset val="1"/>
    </font>
    <font>
      <i/>
      <sz val="9"/>
      <color rgb="FF555555"/>
      <name val="Arial"/>
      <charset val="1"/>
    </font>
    <font>
      <i/>
      <sz val="9"/>
      <color rgb="FF0000AA"/>
      <name val="Arial"/>
      <charset val="1"/>
    </font>
    <font>
      <sz val="10"/>
      <color rgb="FFAAAAAA"/>
      <name val="Arial"/>
      <charset val="1"/>
    </font>
    <font>
      <sz val="9"/>
      <color rgb="FF92400E"/>
      <name val="Arial"/>
      <charset val="1"/>
    </font>
    <font>
      <i/>
      <sz val="9"/>
      <color rgb="FF444444"/>
      <name val="Arial"/>
      <charset val="1"/>
    </font>
    <font>
      <sz val="10"/>
      <color rgb="FF000000"/>
      <name val="Arial"/>
      <charset val="1"/>
    </font>
    <font>
      <sz val="10"/>
      <color rgb="FF006400"/>
      <name val="Arial"/>
      <charset val="1"/>
    </font>
    <font>
      <i/>
      <sz val="10"/>
      <color rgb="FF0D2B55"/>
      <name val="Arial"/>
      <charset val="1"/>
    </font>
    <font>
      <sz val="10"/>
      <color rgb="FF1F5C1F"/>
      <name val="Arial"/>
      <charset val="1"/>
    </font>
    <font>
      <b/>
      <sz val="10"/>
      <color rgb="FF1F5C1F"/>
      <name val="Arial"/>
      <charset val="1"/>
    </font>
    <font>
      <b/>
      <sz val="28"/>
      <color rgb="FF1F5C1F"/>
      <name val="Arial"/>
      <charset val="1"/>
    </font>
    <font>
      <b/>
      <sz val="16"/>
      <color rgb="FF1F5C1F"/>
      <name val="Arial"/>
      <charset val="1"/>
    </font>
    <font>
      <i/>
      <sz val="9"/>
      <color rgb="FF1F5C1F"/>
      <name val="Arial"/>
      <charset val="1"/>
    </font>
    <font>
      <b/>
      <sz val="10"/>
      <color rgb="FF8B0000"/>
      <name val="Arial"/>
      <charset val="1"/>
    </font>
    <font>
      <b/>
      <sz val="28"/>
      <color rgb="FF8B0000"/>
      <name val="Arial"/>
      <charset val="1"/>
    </font>
    <font>
      <b/>
      <sz val="16"/>
      <color rgb="FF8B0000"/>
      <name val="Arial"/>
      <charset val="1"/>
    </font>
    <font>
      <b/>
      <sz val="11"/>
      <color rgb="FF1F5C1F"/>
      <name val="Arial"/>
      <charset val="1"/>
    </font>
    <font>
      <b/>
      <sz val="11"/>
      <color rgb="FF8B0000"/>
      <name val="Arial"/>
      <charset val="1"/>
    </font>
    <font>
      <b/>
      <sz val="9"/>
      <color rgb="FF8B0000"/>
      <name val="Arial"/>
      <charset val="1"/>
    </font>
    <font>
      <b/>
      <sz val="18"/>
      <color rgb="FFC9A84C"/>
      <name val="Arial"/>
      <family val="2"/>
    </font>
    <font>
      <b/>
      <sz val="10"/>
      <color rgb="FFFFFFFF"/>
      <name val="Arial"/>
      <family val="2"/>
    </font>
    <font>
      <sz val="9"/>
      <color rgb="FFFFC000"/>
      <name val="Arial"/>
      <family val="2"/>
    </font>
    <font>
      <b/>
      <sz val="11"/>
      <color rgb="FFFFFFFF"/>
      <name val="Arial"/>
      <family val="2"/>
    </font>
    <font>
      <b/>
      <sz val="9"/>
      <color rgb="FF0D2B5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E6F2"/>
        <bgColor rgb="FFDCE6F1"/>
      </patternFill>
    </fill>
    <fill>
      <patternFill patternType="solid">
        <fgColor rgb="FFDCE6F1"/>
        <bgColor rgb="FFD9E6F2"/>
      </patternFill>
    </fill>
    <fill>
      <patternFill patternType="solid">
        <fgColor rgb="FFFEF3C7"/>
        <bgColor rgb="FFFFF2CC"/>
      </patternFill>
    </fill>
    <fill>
      <patternFill patternType="solid">
        <fgColor rgb="FFF5F5F5"/>
        <bgColor rgb="FFF0F8F0"/>
      </patternFill>
    </fill>
    <fill>
      <patternFill patternType="solid">
        <fgColor rgb="FFF9F9F9"/>
        <bgColor rgb="FFF5F5F5"/>
      </patternFill>
    </fill>
    <fill>
      <patternFill patternType="solid">
        <fgColor rgb="FFF0F8F0"/>
        <bgColor rgb="FFF5F5F5"/>
      </patternFill>
    </fill>
    <fill>
      <patternFill patternType="solid">
        <fgColor rgb="FFEAF2E3"/>
        <bgColor rgb="FFF0F8F0"/>
      </patternFill>
    </fill>
    <fill>
      <patternFill patternType="solid">
        <fgColor rgb="FFFFF2CC"/>
        <bgColor rgb="FFFEF3C7"/>
      </patternFill>
    </fill>
    <fill>
      <patternFill patternType="solid">
        <fgColor rgb="FF0D1B3E"/>
        <bgColor rgb="FF003300"/>
      </patternFill>
    </fill>
    <fill>
      <patternFill patternType="solid">
        <fgColor rgb="FFC9A84C"/>
        <bgColor rgb="FFFF99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rgb="FF0D2B55"/>
      </bottom>
      <diagonal/>
    </border>
    <border>
      <left/>
      <right/>
      <top style="thin">
        <color rgb="FFBF8F00"/>
      </top>
      <bottom/>
      <diagonal/>
    </border>
    <border>
      <left/>
      <right/>
      <top style="thin">
        <color rgb="FFCCCCCC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4" fontId="17" fillId="6" borderId="2" xfId="0" applyNumberFormat="1" applyFont="1" applyFill="1" applyBorder="1" applyAlignment="1">
      <alignment horizontal="center" vertical="center"/>
    </xf>
    <xf numFmtId="165" fontId="18" fillId="7" borderId="2" xfId="0" applyNumberFormat="1" applyFont="1" applyFill="1" applyBorder="1" applyAlignment="1">
      <alignment horizontal="center" vertical="center"/>
    </xf>
    <xf numFmtId="165" fontId="17" fillId="6" borderId="2" xfId="0" applyNumberFormat="1" applyFont="1" applyFill="1" applyBorder="1" applyAlignment="1">
      <alignment horizontal="center" vertical="center"/>
    </xf>
    <xf numFmtId="166" fontId="17" fillId="6" borderId="2" xfId="0" applyNumberFormat="1" applyFont="1" applyFill="1" applyBorder="1" applyAlignment="1">
      <alignment horizontal="center" vertical="center"/>
    </xf>
    <xf numFmtId="2" fontId="17" fillId="6" borderId="2" xfId="0" applyNumberFormat="1" applyFont="1" applyFill="1" applyBorder="1" applyAlignment="1">
      <alignment horizontal="center" vertical="center"/>
    </xf>
    <xf numFmtId="164" fontId="20" fillId="8" borderId="2" xfId="0" applyNumberFormat="1" applyFont="1" applyFill="1" applyBorder="1" applyAlignment="1">
      <alignment horizontal="center" vertical="center"/>
    </xf>
    <xf numFmtId="164" fontId="7" fillId="9" borderId="2" xfId="0" applyNumberFormat="1" applyFont="1" applyFill="1" applyBorder="1" applyAlignment="1">
      <alignment horizontal="center" vertical="center"/>
    </xf>
    <xf numFmtId="0" fontId="0" fillId="0" borderId="4" xfId="0" applyBorder="1"/>
    <xf numFmtId="2" fontId="18" fillId="7" borderId="2" xfId="0" applyNumberFormat="1" applyFont="1" applyFill="1" applyBorder="1" applyAlignment="1">
      <alignment horizontal="center" vertical="center"/>
    </xf>
    <xf numFmtId="0" fontId="23" fillId="8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0" fontId="27" fillId="9" borderId="0" xfId="0" applyFont="1" applyFill="1" applyAlignment="1">
      <alignment horizontal="left" vertical="center"/>
    </xf>
    <xf numFmtId="0" fontId="9" fillId="9" borderId="0" xfId="0" applyFont="1" applyFill="1" applyAlignment="1">
      <alignment horizontal="left" vertical="center"/>
    </xf>
    <xf numFmtId="164" fontId="28" fillId="8" borderId="2" xfId="0" applyNumberFormat="1" applyFont="1" applyFill="1" applyBorder="1" applyAlignment="1">
      <alignment horizontal="center" vertical="center"/>
    </xf>
    <xf numFmtId="164" fontId="29" fillId="9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10" borderId="0" xfId="0" applyFill="1"/>
    <xf numFmtId="0" fontId="32" fillId="10" borderId="0" xfId="0" applyFont="1" applyFill="1" applyAlignment="1">
      <alignment horizontal="right" vertical="center"/>
    </xf>
    <xf numFmtId="0" fontId="0" fillId="11" borderId="0" xfId="0" applyFill="1"/>
    <xf numFmtId="0" fontId="6" fillId="0" borderId="0" xfId="0" applyFont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2" fillId="1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1" fillId="1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4" fillId="10" borderId="0" xfId="0" applyFont="1" applyFill="1" applyAlignment="1">
      <alignment horizontal="left" vertical="center"/>
    </xf>
    <xf numFmtId="0" fontId="33" fillId="10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2" fillId="10" borderId="0" xfId="0" applyFont="1" applyFill="1" applyAlignment="1">
      <alignment horizontal="right" vertical="center"/>
    </xf>
    <xf numFmtId="0" fontId="17" fillId="6" borderId="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9" borderId="0" xfId="0" applyFont="1" applyFill="1" applyAlignment="1">
      <alignment horizontal="left" vertical="center" wrapText="1"/>
    </xf>
    <xf numFmtId="0" fontId="30" fillId="9" borderId="5" xfId="0" applyFont="1" applyFill="1" applyBorder="1" applyAlignment="1">
      <alignment horizontal="left" vertical="center"/>
    </xf>
    <xf numFmtId="164" fontId="26" fillId="9" borderId="0" xfId="0" applyNumberFormat="1" applyFont="1" applyFill="1" applyAlignment="1">
      <alignment horizontal="center" vertical="center"/>
    </xf>
    <xf numFmtId="0" fontId="21" fillId="8" borderId="0" xfId="0" applyFont="1" applyFill="1" applyAlignment="1">
      <alignment horizontal="left" vertical="center"/>
    </xf>
    <xf numFmtId="164" fontId="22" fillId="8" borderId="0" xfId="0" applyNumberFormat="1" applyFont="1" applyFill="1" applyAlignment="1">
      <alignment horizontal="center" vertical="center"/>
    </xf>
    <xf numFmtId="0" fontId="25" fillId="9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9F9F9"/>
      <rgbColor rgb="FFFF0000"/>
      <rgbColor rgb="FF00FF00"/>
      <rgbColor rgb="FF0000FF"/>
      <rgbColor rgb="FFFFFF00"/>
      <rgbColor rgb="FFFF00FF"/>
      <rgbColor rgb="FF00FFFF"/>
      <rgbColor rgb="FF8B0000"/>
      <rgbColor rgb="FF006400"/>
      <rgbColor rgb="FF0000AA"/>
      <rgbColor rgb="FF808000"/>
      <rgbColor rgb="FF800080"/>
      <rgbColor rgb="FF008080"/>
      <rgbColor rgb="FFCCCCCC"/>
      <rgbColor rgb="FF808080"/>
      <rgbColor rgb="FF9999FF"/>
      <rgbColor rgb="FF993366"/>
      <rgbColor rgb="FFFEF3C7"/>
      <rgbColor rgb="FFD9E6F2"/>
      <rgbColor rgb="FF660066"/>
      <rgbColor rgb="FFC8A850"/>
      <rgbColor rgb="FF0066CC"/>
      <rgbColor rgb="FFDCE6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8F0"/>
      <rgbColor rgb="FFEAF2E3"/>
      <rgbColor rgb="FFFFF2CC"/>
      <rgbColor rgb="FF99CCFF"/>
      <rgbColor rgb="FFFF99CC"/>
      <rgbColor rgb="FFCC99FF"/>
      <rgbColor rgb="FFF5F5F5"/>
      <rgbColor rgb="FF3366FF"/>
      <rgbColor rgb="FF33CCCC"/>
      <rgbColor rgb="FF99CC00"/>
      <rgbColor rgb="FFFFCC00"/>
      <rgbColor rgb="FFBF8F00"/>
      <rgbColor rgb="FFFF6600"/>
      <rgbColor rgb="FF666666"/>
      <rgbColor rgb="FFAAAAAA"/>
      <rgbColor rgb="FF0D2B55"/>
      <rgbColor rgb="FF339966"/>
      <rgbColor rgb="FF003300"/>
      <rgbColor rgb="FF1F5C1F"/>
      <rgbColor rgb="FF92400E"/>
      <rgbColor rgb="FF993366"/>
      <rgbColor rgb="FF555555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showGridLines="0" zoomScaleNormal="100" workbookViewId="0">
      <selection activeCell="B7" sqref="B7:F7"/>
    </sheetView>
  </sheetViews>
  <sheetFormatPr defaultColWidth="8.6328125" defaultRowHeight="14.5" x14ac:dyDescent="0.35"/>
  <cols>
    <col min="1" max="1" width="2" customWidth="1"/>
    <col min="2" max="2" width="30" customWidth="1"/>
    <col min="3" max="3" width="18" customWidth="1"/>
    <col min="4" max="5" width="22" customWidth="1"/>
    <col min="6" max="6" width="27.90625" customWidth="1"/>
    <col min="7" max="7" width="2" customWidth="1"/>
  </cols>
  <sheetData>
    <row r="1" spans="1:6" ht="6" customHeight="1" x14ac:dyDescent="0.35">
      <c r="A1" s="24"/>
      <c r="B1" s="24"/>
      <c r="C1" s="24"/>
      <c r="D1" s="24"/>
      <c r="E1" s="38"/>
      <c r="F1" s="38"/>
    </row>
    <row r="2" spans="1:6" ht="31.5" customHeight="1" x14ac:dyDescent="0.35">
      <c r="A2" s="24"/>
      <c r="B2" s="40" t="s">
        <v>1</v>
      </c>
      <c r="C2" s="40"/>
      <c r="D2" s="40"/>
      <c r="E2" s="40"/>
      <c r="F2" s="33" t="s">
        <v>0</v>
      </c>
    </row>
    <row r="3" spans="1:6" ht="18" customHeight="1" x14ac:dyDescent="0.35">
      <c r="A3" s="24"/>
      <c r="B3" s="44" t="s">
        <v>191</v>
      </c>
      <c r="C3" s="44"/>
      <c r="D3" s="44"/>
      <c r="E3" s="44"/>
      <c r="F3" s="44"/>
    </row>
    <row r="4" spans="1:6" ht="24" customHeight="1" x14ac:dyDescent="0.35">
      <c r="A4" s="24"/>
      <c r="B4" s="45" t="s">
        <v>187</v>
      </c>
      <c r="C4" s="45"/>
      <c r="D4" s="45"/>
      <c r="E4" s="45"/>
      <c r="F4" s="45"/>
    </row>
    <row r="5" spans="1:6" ht="13.5" customHeight="1" x14ac:dyDescent="0.35">
      <c r="A5" s="26"/>
      <c r="B5" s="26"/>
      <c r="C5" s="26"/>
      <c r="D5" s="26"/>
      <c r="E5" s="39"/>
      <c r="F5" s="39"/>
    </row>
    <row r="6" spans="1:6" ht="7.5" customHeight="1" x14ac:dyDescent="0.35"/>
    <row r="7" spans="1:6" ht="15" customHeight="1" x14ac:dyDescent="0.35">
      <c r="B7" s="42" t="s">
        <v>2</v>
      </c>
      <c r="C7" s="42"/>
      <c r="D7" s="42"/>
      <c r="E7" s="42"/>
      <c r="F7" s="42"/>
    </row>
    <row r="8" spans="1:6" ht="34.5" customHeight="1" x14ac:dyDescent="0.35">
      <c r="B8" s="43" t="s">
        <v>3</v>
      </c>
      <c r="C8" s="43"/>
      <c r="D8" s="43"/>
      <c r="E8" s="43"/>
      <c r="F8" s="43"/>
    </row>
    <row r="9" spans="1:6" ht="19.5" customHeight="1" x14ac:dyDescent="0.35">
      <c r="B9" s="43" t="s">
        <v>4</v>
      </c>
      <c r="C9" s="43"/>
      <c r="D9" s="43"/>
      <c r="E9" s="43"/>
      <c r="F9" s="43"/>
    </row>
    <row r="10" spans="1:6" ht="19.5" customHeight="1" x14ac:dyDescent="0.35">
      <c r="B10" s="43" t="s">
        <v>5</v>
      </c>
      <c r="C10" s="43"/>
      <c r="D10" s="43"/>
      <c r="E10" s="43"/>
      <c r="F10" s="43"/>
    </row>
    <row r="11" spans="1:6" ht="19.5" customHeight="1" x14ac:dyDescent="0.35">
      <c r="B11" s="43" t="s">
        <v>6</v>
      </c>
      <c r="C11" s="43"/>
      <c r="D11" s="43"/>
      <c r="E11" s="43"/>
      <c r="F11" s="43"/>
    </row>
    <row r="12" spans="1:6" ht="7.5" customHeight="1" x14ac:dyDescent="0.35"/>
    <row r="13" spans="1:6" ht="15" customHeight="1" x14ac:dyDescent="0.35">
      <c r="B13" s="42" t="s">
        <v>7</v>
      </c>
      <c r="C13" s="42"/>
      <c r="D13" s="42"/>
      <c r="E13" s="42"/>
      <c r="F13" s="42"/>
    </row>
    <row r="14" spans="1:6" ht="19.5" customHeight="1" x14ac:dyDescent="0.35">
      <c r="B14" s="43" t="s">
        <v>8</v>
      </c>
      <c r="C14" s="43"/>
      <c r="D14" s="43"/>
      <c r="E14" s="43"/>
      <c r="F14" s="43"/>
    </row>
    <row r="15" spans="1:6" ht="19.5" customHeight="1" x14ac:dyDescent="0.35">
      <c r="B15" s="43" t="s">
        <v>9</v>
      </c>
      <c r="C15" s="43"/>
      <c r="D15" s="43"/>
      <c r="E15" s="43"/>
      <c r="F15" s="43"/>
    </row>
    <row r="16" spans="1:6" ht="19.5" customHeight="1" x14ac:dyDescent="0.35">
      <c r="B16" s="43" t="s">
        <v>10</v>
      </c>
      <c r="C16" s="43"/>
      <c r="D16" s="43"/>
      <c r="E16" s="43"/>
      <c r="F16" s="43"/>
    </row>
    <row r="17" spans="2:6" ht="19.5" customHeight="1" x14ac:dyDescent="0.35">
      <c r="B17" s="43" t="s">
        <v>11</v>
      </c>
      <c r="C17" s="43"/>
      <c r="D17" s="43"/>
      <c r="E17" s="43"/>
      <c r="F17" s="43"/>
    </row>
    <row r="18" spans="2:6" ht="7.5" customHeight="1" x14ac:dyDescent="0.35"/>
    <row r="19" spans="2:6" ht="15" customHeight="1" x14ac:dyDescent="0.35">
      <c r="B19" s="42" t="s">
        <v>12</v>
      </c>
      <c r="C19" s="42"/>
      <c r="D19" s="42"/>
      <c r="E19" s="42"/>
      <c r="F19" s="42"/>
    </row>
    <row r="20" spans="2:6" ht="19.5" customHeight="1" x14ac:dyDescent="0.35">
      <c r="B20" s="43" t="s">
        <v>13</v>
      </c>
      <c r="C20" s="43"/>
      <c r="D20" s="43"/>
      <c r="E20" s="43"/>
      <c r="F20" s="43"/>
    </row>
    <row r="21" spans="2:6" ht="19.5" customHeight="1" x14ac:dyDescent="0.35">
      <c r="B21" s="43" t="s">
        <v>14</v>
      </c>
      <c r="C21" s="43"/>
      <c r="D21" s="43"/>
      <c r="E21" s="43"/>
      <c r="F21" s="43"/>
    </row>
    <row r="22" spans="2:6" ht="19.5" customHeight="1" x14ac:dyDescent="0.35">
      <c r="B22" s="43" t="s">
        <v>15</v>
      </c>
      <c r="C22" s="43"/>
      <c r="D22" s="43"/>
      <c r="E22" s="43"/>
      <c r="F22" s="43"/>
    </row>
    <row r="23" spans="2:6" ht="7.5" customHeight="1" x14ac:dyDescent="0.35"/>
    <row r="24" spans="2:6" ht="15" customHeight="1" x14ac:dyDescent="0.35">
      <c r="B24" s="42" t="s">
        <v>16</v>
      </c>
      <c r="C24" s="42"/>
      <c r="D24" s="42"/>
      <c r="E24" s="42"/>
      <c r="F24" s="42"/>
    </row>
    <row r="25" spans="2:6" ht="47" customHeight="1" x14ac:dyDescent="0.35">
      <c r="B25" s="41" t="s">
        <v>17</v>
      </c>
      <c r="C25" s="41"/>
      <c r="D25" s="41"/>
      <c r="E25" s="41"/>
      <c r="F25" s="41"/>
    </row>
    <row r="26" spans="2:6" ht="27.75" customHeight="1" x14ac:dyDescent="0.35">
      <c r="B26" s="41" t="s">
        <v>18</v>
      </c>
      <c r="C26" s="41"/>
      <c r="D26" s="41"/>
      <c r="E26" s="41"/>
      <c r="F26" s="41"/>
    </row>
    <row r="27" spans="2:6" ht="27.75" customHeight="1" x14ac:dyDescent="0.35">
      <c r="B27" s="41" t="s">
        <v>19</v>
      </c>
      <c r="C27" s="41"/>
      <c r="D27" s="41"/>
      <c r="E27" s="41"/>
      <c r="F27" s="41"/>
    </row>
    <row r="28" spans="2:6" ht="7.5" customHeight="1" x14ac:dyDescent="0.35"/>
    <row r="29" spans="2:6" ht="15" customHeight="1" x14ac:dyDescent="0.35">
      <c r="B29" s="42" t="s">
        <v>20</v>
      </c>
      <c r="C29" s="42"/>
      <c r="D29" s="42"/>
      <c r="E29" s="42"/>
      <c r="F29" s="42"/>
    </row>
    <row r="30" spans="2:6" ht="18" customHeight="1" x14ac:dyDescent="0.35">
      <c r="B30" s="34" t="s">
        <v>21</v>
      </c>
      <c r="C30" s="36" t="s">
        <v>22</v>
      </c>
      <c r="D30" s="36"/>
      <c r="E30" s="36"/>
      <c r="F30" s="36"/>
    </row>
    <row r="31" spans="2:6" ht="18" customHeight="1" x14ac:dyDescent="0.35">
      <c r="B31" s="34" t="s">
        <v>23</v>
      </c>
      <c r="C31" s="36" t="s">
        <v>24</v>
      </c>
      <c r="D31" s="36"/>
      <c r="E31" s="36"/>
      <c r="F31" s="36"/>
    </row>
    <row r="32" spans="2:6" ht="18" customHeight="1" x14ac:dyDescent="0.35">
      <c r="B32" s="34" t="s">
        <v>25</v>
      </c>
      <c r="C32" s="36" t="s">
        <v>26</v>
      </c>
      <c r="D32" s="36"/>
      <c r="E32" s="36"/>
      <c r="F32" s="36"/>
    </row>
    <row r="33" spans="2:6" ht="18" customHeight="1" x14ac:dyDescent="0.35">
      <c r="B33" s="34" t="s">
        <v>27</v>
      </c>
      <c r="C33" s="36" t="s">
        <v>28</v>
      </c>
      <c r="D33" s="36"/>
      <c r="E33" s="36"/>
      <c r="F33" s="36"/>
    </row>
    <row r="34" spans="2:6" ht="7.5" customHeight="1" x14ac:dyDescent="0.35"/>
    <row r="35" spans="2:6" ht="15.75" customHeight="1" x14ac:dyDescent="0.35">
      <c r="B35" s="37" t="s">
        <v>29</v>
      </c>
      <c r="C35" s="37"/>
      <c r="D35" s="37"/>
      <c r="E35" s="37"/>
      <c r="F35" s="37"/>
    </row>
  </sheetData>
  <sheetProtection algorithmName="SHA-512" hashValue="qukaiwrldoC9tz5hvEkif2SSg2igWZ5gvcgAqmLPbzfwYYgAnHVjISTHqjBZSrWomDBfrTI1SdCxL6TlhedqFQ==" saltValue="V1ZA1BgatkEKAheXrUE1Ig==" spinCount="100000" sheet="1" objects="1" scenarios="1" selectLockedCells="1"/>
  <mergeCells count="29">
    <mergeCell ref="B3:F3"/>
    <mergeCell ref="B4:F4"/>
    <mergeCell ref="B7:F7"/>
    <mergeCell ref="B8:F8"/>
    <mergeCell ref="B9:F9"/>
    <mergeCell ref="B10:F10"/>
    <mergeCell ref="B11:F11"/>
    <mergeCell ref="B13:F13"/>
    <mergeCell ref="B14:F14"/>
    <mergeCell ref="B15:F15"/>
    <mergeCell ref="B16:F16"/>
    <mergeCell ref="B17:F17"/>
    <mergeCell ref="B19:F19"/>
    <mergeCell ref="C32:F32"/>
    <mergeCell ref="C33:F33"/>
    <mergeCell ref="B35:F35"/>
    <mergeCell ref="E1:F1"/>
    <mergeCell ref="E5:F5"/>
    <mergeCell ref="B2:E2"/>
    <mergeCell ref="B26:F26"/>
    <mergeCell ref="B27:F27"/>
    <mergeCell ref="B29:F29"/>
    <mergeCell ref="C30:F30"/>
    <mergeCell ref="C31:F31"/>
    <mergeCell ref="B20:F20"/>
    <mergeCell ref="B21:F21"/>
    <mergeCell ref="B22:F22"/>
    <mergeCell ref="B24:F24"/>
    <mergeCell ref="B25:F2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showGridLines="0" zoomScaleNormal="100" workbookViewId="0">
      <selection activeCell="C9" sqref="C9"/>
    </sheetView>
  </sheetViews>
  <sheetFormatPr defaultColWidth="8.6328125" defaultRowHeight="14.5" x14ac:dyDescent="0.35"/>
  <cols>
    <col min="1" max="1" width="2" customWidth="1"/>
    <col min="2" max="2" width="42.36328125" customWidth="1"/>
    <col min="3" max="3" width="14" customWidth="1"/>
    <col min="4" max="5" width="10" customWidth="1"/>
    <col min="6" max="6" width="40" customWidth="1"/>
    <col min="7" max="7" width="2" customWidth="1"/>
  </cols>
  <sheetData>
    <row r="1" spans="1:6" ht="6" customHeight="1" x14ac:dyDescent="0.35">
      <c r="A1" s="24"/>
      <c r="B1" s="24"/>
      <c r="C1" s="24"/>
      <c r="D1" s="24"/>
      <c r="E1" s="38"/>
      <c r="F1" s="38"/>
    </row>
    <row r="2" spans="1:6" ht="31.5" customHeight="1" x14ac:dyDescent="0.35">
      <c r="A2" s="24"/>
      <c r="B2" s="40" t="s">
        <v>190</v>
      </c>
      <c r="C2" s="40"/>
      <c r="D2" s="40"/>
      <c r="E2" s="55" t="s">
        <v>0</v>
      </c>
      <c r="F2" s="55"/>
    </row>
    <row r="3" spans="1:6" ht="18" customHeight="1" x14ac:dyDescent="0.35">
      <c r="A3" s="24"/>
      <c r="B3" s="44" t="s">
        <v>186</v>
      </c>
      <c r="C3" s="44"/>
      <c r="D3" s="44"/>
      <c r="E3" s="44"/>
      <c r="F3" s="44"/>
    </row>
    <row r="4" spans="1:6" ht="24" customHeight="1" x14ac:dyDescent="0.35">
      <c r="A4" s="24"/>
      <c r="B4" s="45" t="s">
        <v>187</v>
      </c>
      <c r="C4" s="45"/>
      <c r="D4" s="45"/>
      <c r="E4" s="45"/>
      <c r="F4" s="45"/>
    </row>
    <row r="5" spans="1:6" ht="13.5" customHeight="1" x14ac:dyDescent="0.35">
      <c r="A5" s="26"/>
      <c r="B5" s="26"/>
      <c r="C5" s="26"/>
      <c r="D5" s="26"/>
      <c r="E5" s="39"/>
      <c r="F5" s="39"/>
    </row>
    <row r="6" spans="1:6" ht="31" customHeight="1" x14ac:dyDescent="0.35">
      <c r="B6" s="54" t="s">
        <v>30</v>
      </c>
      <c r="C6" s="54"/>
      <c r="D6" s="54"/>
      <c r="E6" s="54"/>
      <c r="F6" s="54"/>
    </row>
    <row r="7" spans="1:6" ht="15" customHeight="1" x14ac:dyDescent="0.35">
      <c r="B7" s="42" t="s">
        <v>31</v>
      </c>
      <c r="C7" s="42"/>
      <c r="D7" s="42"/>
      <c r="E7" s="42"/>
      <c r="F7" s="42"/>
    </row>
    <row r="8" spans="1:6" ht="15" customHeight="1" x14ac:dyDescent="0.35">
      <c r="B8" s="1" t="s">
        <v>32</v>
      </c>
      <c r="C8" s="1" t="s">
        <v>33</v>
      </c>
      <c r="D8" s="1" t="s">
        <v>34</v>
      </c>
      <c r="E8" s="53" t="s">
        <v>35</v>
      </c>
      <c r="F8" s="53"/>
    </row>
    <row r="9" spans="1:6" ht="19.5" customHeight="1" x14ac:dyDescent="0.35">
      <c r="B9" s="3" t="s">
        <v>36</v>
      </c>
      <c r="C9" s="28">
        <v>10</v>
      </c>
      <c r="D9" s="2" t="s">
        <v>37</v>
      </c>
      <c r="E9" s="47" t="s">
        <v>38</v>
      </c>
      <c r="F9" s="47"/>
    </row>
    <row r="10" spans="1:6" ht="29.5" customHeight="1" x14ac:dyDescent="0.35">
      <c r="B10" s="3" t="s">
        <v>39</v>
      </c>
      <c r="C10" s="28">
        <v>12</v>
      </c>
      <c r="D10" s="2" t="s">
        <v>37</v>
      </c>
      <c r="E10" s="47" t="s">
        <v>40</v>
      </c>
      <c r="F10" s="47"/>
    </row>
    <row r="11" spans="1:6" ht="19.5" customHeight="1" x14ac:dyDescent="0.35">
      <c r="B11" s="3" t="s">
        <v>41</v>
      </c>
      <c r="C11" s="28">
        <v>55</v>
      </c>
      <c r="D11" s="2" t="s">
        <v>37</v>
      </c>
      <c r="E11" s="47" t="s">
        <v>42</v>
      </c>
      <c r="F11" s="47"/>
    </row>
    <row r="12" spans="1:6" ht="7.5" customHeight="1" x14ac:dyDescent="0.35"/>
    <row r="13" spans="1:6" ht="15" customHeight="1" x14ac:dyDescent="0.35">
      <c r="B13" s="42" t="s">
        <v>43</v>
      </c>
      <c r="C13" s="42"/>
      <c r="D13" s="42"/>
      <c r="E13" s="42"/>
      <c r="F13" s="42"/>
    </row>
    <row r="14" spans="1:6" ht="21.75" customHeight="1" x14ac:dyDescent="0.35">
      <c r="B14" s="51" t="s">
        <v>44</v>
      </c>
      <c r="C14" s="51"/>
      <c r="D14" s="51"/>
      <c r="E14" s="51"/>
      <c r="F14" s="51"/>
    </row>
    <row r="15" spans="1:6" ht="21.75" customHeight="1" x14ac:dyDescent="0.35">
      <c r="B15" s="52" t="s">
        <v>45</v>
      </c>
      <c r="C15" s="52"/>
      <c r="D15" s="52"/>
      <c r="E15" s="52"/>
      <c r="F15" s="52"/>
    </row>
    <row r="16" spans="1:6" ht="46" customHeight="1" x14ac:dyDescent="0.35">
      <c r="B16" s="31" t="s">
        <v>46</v>
      </c>
      <c r="C16" s="31" t="s">
        <v>47</v>
      </c>
      <c r="D16" s="31" t="s">
        <v>48</v>
      </c>
      <c r="E16" s="31" t="s">
        <v>49</v>
      </c>
      <c r="F16" s="31" t="s">
        <v>50</v>
      </c>
    </row>
    <row r="17" spans="2:6" ht="18" customHeight="1" x14ac:dyDescent="0.35">
      <c r="B17" s="27" t="s">
        <v>51</v>
      </c>
      <c r="C17" s="28">
        <v>6</v>
      </c>
      <c r="D17" s="28">
        <v>35</v>
      </c>
      <c r="E17" s="28">
        <v>1</v>
      </c>
      <c r="F17" s="28" t="s">
        <v>52</v>
      </c>
    </row>
    <row r="18" spans="2:6" ht="18" customHeight="1" x14ac:dyDescent="0.35">
      <c r="B18" s="27" t="s">
        <v>53</v>
      </c>
      <c r="C18" s="28">
        <v>6</v>
      </c>
      <c r="D18" s="28">
        <v>35</v>
      </c>
      <c r="E18" s="28">
        <v>1</v>
      </c>
      <c r="F18" s="28" t="s">
        <v>54</v>
      </c>
    </row>
    <row r="19" spans="2:6" ht="18" customHeight="1" x14ac:dyDescent="0.35">
      <c r="B19" s="27" t="s">
        <v>182</v>
      </c>
      <c r="C19" s="28"/>
      <c r="D19" s="28"/>
      <c r="E19" s="28"/>
      <c r="F19" s="28"/>
    </row>
    <row r="20" spans="2:6" ht="18" customHeight="1" x14ac:dyDescent="0.35">
      <c r="B20" s="27" t="s">
        <v>183</v>
      </c>
      <c r="C20" s="28"/>
      <c r="D20" s="28"/>
      <c r="E20" s="28"/>
      <c r="F20" s="28"/>
    </row>
    <row r="21" spans="2:6" ht="19.5" customHeight="1" x14ac:dyDescent="0.35">
      <c r="B21" s="27" t="s">
        <v>184</v>
      </c>
      <c r="C21" s="28"/>
      <c r="D21" s="28"/>
      <c r="E21" s="28"/>
      <c r="F21" s="28"/>
    </row>
    <row r="22" spans="2:6" ht="19.5" customHeight="1" x14ac:dyDescent="0.35">
      <c r="B22" s="27" t="s">
        <v>185</v>
      </c>
      <c r="C22" s="28"/>
      <c r="D22" s="28"/>
      <c r="E22" s="28"/>
      <c r="F22" s="28"/>
    </row>
    <row r="23" spans="2:6" ht="19.5" customHeight="1" x14ac:dyDescent="0.35">
      <c r="B23" s="29" t="s">
        <v>55</v>
      </c>
      <c r="C23" s="28"/>
      <c r="D23" s="28"/>
      <c r="E23" s="28"/>
      <c r="F23" s="28"/>
    </row>
    <row r="24" spans="2:6" ht="19.5" customHeight="1" x14ac:dyDescent="0.35">
      <c r="B24" s="29" t="s">
        <v>56</v>
      </c>
      <c r="C24" s="28"/>
      <c r="D24" s="28"/>
      <c r="E24" s="28"/>
      <c r="F24" s="28"/>
    </row>
    <row r="25" spans="2:6" ht="7.5" customHeight="1" x14ac:dyDescent="0.35"/>
    <row r="26" spans="2:6" ht="15" customHeight="1" x14ac:dyDescent="0.35">
      <c r="B26" s="42" t="s">
        <v>57</v>
      </c>
      <c r="C26" s="42"/>
      <c r="D26" s="42"/>
      <c r="E26" s="42"/>
      <c r="F26" s="42"/>
    </row>
    <row r="27" spans="2:6" ht="27" customHeight="1" x14ac:dyDescent="0.35">
      <c r="B27" s="3" t="s">
        <v>58</v>
      </c>
      <c r="C27" s="28">
        <v>250</v>
      </c>
      <c r="D27" s="2" t="s">
        <v>59</v>
      </c>
      <c r="E27" s="47" t="s">
        <v>60</v>
      </c>
      <c r="F27" s="47"/>
    </row>
    <row r="28" spans="2:6" ht="27" customHeight="1" x14ac:dyDescent="0.35">
      <c r="B28" s="3" t="s">
        <v>61</v>
      </c>
      <c r="C28" s="28">
        <v>1</v>
      </c>
      <c r="D28" s="2" t="s">
        <v>62</v>
      </c>
      <c r="E28" s="47" t="s">
        <v>63</v>
      </c>
      <c r="F28" s="47"/>
    </row>
    <row r="29" spans="2:6" ht="41.5" customHeight="1" x14ac:dyDescent="0.35">
      <c r="B29" s="49" t="s">
        <v>64</v>
      </c>
      <c r="C29" s="49"/>
      <c r="D29" s="49"/>
      <c r="E29" s="49"/>
      <c r="F29" s="49"/>
    </row>
    <row r="30" spans="2:6" ht="15" customHeight="1" x14ac:dyDescent="0.35">
      <c r="B30" s="42" t="s">
        <v>65</v>
      </c>
      <c r="C30" s="42"/>
      <c r="D30" s="42"/>
      <c r="E30" s="42"/>
      <c r="F30" s="42"/>
    </row>
    <row r="31" spans="2:6" ht="19.5" customHeight="1" x14ac:dyDescent="0.35">
      <c r="B31" s="50" t="s">
        <v>66</v>
      </c>
      <c r="C31" s="50"/>
      <c r="D31" s="50"/>
      <c r="E31" s="50"/>
      <c r="F31" s="50"/>
    </row>
    <row r="32" spans="2:6" ht="19.5" customHeight="1" x14ac:dyDescent="0.35">
      <c r="B32" s="50" t="s">
        <v>67</v>
      </c>
      <c r="C32" s="50"/>
      <c r="D32" s="50"/>
      <c r="E32" s="50"/>
      <c r="F32" s="50"/>
    </row>
    <row r="33" spans="2:6" ht="19.5" customHeight="1" x14ac:dyDescent="0.35">
      <c r="B33" s="30" t="s">
        <v>68</v>
      </c>
      <c r="C33" s="32">
        <v>0</v>
      </c>
      <c r="D33" s="2" t="s">
        <v>37</v>
      </c>
      <c r="E33" s="47" t="s">
        <v>69</v>
      </c>
      <c r="F33" s="47"/>
    </row>
    <row r="34" spans="2:6" ht="7.5" customHeight="1" x14ac:dyDescent="0.35"/>
    <row r="35" spans="2:6" ht="15" customHeight="1" x14ac:dyDescent="0.35">
      <c r="B35" s="42" t="s">
        <v>70</v>
      </c>
      <c r="C35" s="42"/>
      <c r="D35" s="42"/>
      <c r="E35" s="42"/>
      <c r="F35" s="42"/>
    </row>
    <row r="36" spans="2:6" ht="15" customHeight="1" x14ac:dyDescent="0.35">
      <c r="B36" s="1" t="s">
        <v>32</v>
      </c>
      <c r="C36" s="1" t="s">
        <v>33</v>
      </c>
      <c r="D36" s="1" t="s">
        <v>34</v>
      </c>
      <c r="E36" s="46" t="s">
        <v>71</v>
      </c>
      <c r="F36" s="46"/>
    </row>
    <row r="37" spans="2:6" ht="19.5" customHeight="1" x14ac:dyDescent="0.35">
      <c r="B37" s="3" t="s">
        <v>72</v>
      </c>
      <c r="C37" s="5">
        <f>SUM(D17:D24)/1000</f>
        <v>7.0000000000000007E-2</v>
      </c>
      <c r="D37" s="2" t="s">
        <v>37</v>
      </c>
      <c r="E37" s="47" t="s">
        <v>73</v>
      </c>
      <c r="F37" s="47"/>
    </row>
    <row r="38" spans="2:6" ht="19.5" customHeight="1" x14ac:dyDescent="0.35">
      <c r="B38" s="3" t="s">
        <v>74</v>
      </c>
      <c r="C38" s="5">
        <f>(COUNTA(D17:D24)-1)*C27/1000</f>
        <v>0.25</v>
      </c>
      <c r="D38" s="2" t="s">
        <v>37</v>
      </c>
      <c r="E38" s="47" t="s">
        <v>75</v>
      </c>
      <c r="F38" s="47"/>
    </row>
    <row r="39" spans="2:6" ht="19.5" customHeight="1" x14ac:dyDescent="0.35">
      <c r="B39" s="3" t="s">
        <v>76</v>
      </c>
      <c r="C39" s="5">
        <f>C37+C38</f>
        <v>0.32</v>
      </c>
      <c r="D39" s="2" t="s">
        <v>37</v>
      </c>
      <c r="E39" s="47" t="s">
        <v>77</v>
      </c>
      <c r="F39" s="47"/>
    </row>
    <row r="40" spans="2:6" ht="19.5" customHeight="1" x14ac:dyDescent="0.35">
      <c r="B40" s="3" t="s">
        <v>78</v>
      </c>
      <c r="C40" s="5">
        <f>IF(C10&gt;0,C39/C10,0)</f>
        <v>2.6666666666666668E-2</v>
      </c>
      <c r="D40" s="2" t="s">
        <v>62</v>
      </c>
      <c r="E40" s="47" t="s">
        <v>79</v>
      </c>
      <c r="F40" s="47"/>
    </row>
    <row r="41" spans="2:6" ht="19.5" customHeight="1" x14ac:dyDescent="0.35">
      <c r="B41" s="3" t="s">
        <v>80</v>
      </c>
      <c r="C41" s="5">
        <f>SUMIF(F17:F24,"P",E17:E24)</f>
        <v>1</v>
      </c>
      <c r="D41" s="2" t="s">
        <v>62</v>
      </c>
      <c r="E41" s="47" t="s">
        <v>81</v>
      </c>
      <c r="F41" s="47"/>
    </row>
    <row r="42" spans="2:6" ht="19.5" customHeight="1" x14ac:dyDescent="0.35">
      <c r="B42" s="3" t="s">
        <v>82</v>
      </c>
      <c r="C42" s="5">
        <f>SUMIF(F17:F24,"S",E17:E24)</f>
        <v>1</v>
      </c>
      <c r="D42" s="2" t="s">
        <v>62</v>
      </c>
      <c r="E42" s="47" t="s">
        <v>83</v>
      </c>
      <c r="F42" s="47"/>
    </row>
    <row r="43" spans="2:6" ht="19.5" customHeight="1" x14ac:dyDescent="0.35">
      <c r="B43" s="3" t="s">
        <v>84</v>
      </c>
      <c r="C43" s="5">
        <f>IF(C42&gt;0,C41/C42,0)</f>
        <v>1</v>
      </c>
      <c r="D43" s="2" t="s">
        <v>62</v>
      </c>
      <c r="E43" s="47" t="s">
        <v>85</v>
      </c>
      <c r="F43" s="47"/>
    </row>
    <row r="44" spans="2:6" ht="7.5" customHeight="1" x14ac:dyDescent="0.35"/>
    <row r="45" spans="2:6" ht="15" customHeight="1" x14ac:dyDescent="0.35">
      <c r="B45" s="48" t="s">
        <v>86</v>
      </c>
      <c r="C45" s="48"/>
      <c r="D45" s="48"/>
      <c r="E45" s="48"/>
      <c r="F45" s="48"/>
    </row>
  </sheetData>
  <sheetProtection algorithmName="SHA-512" hashValue="tKSxxC+RqEOBroo46knZ+DZH1k77ngViYTTMgeJ2TBgds9ZvSLlg8I6wbUnD4NQvEY2Bw/D5U7e0g03wCaLT9w==" saltValue="l+JCi8gdPTb3m/QaDvmD0g==" spinCount="100000" sheet="1" objects="1" scenarios="1" selectLockedCells="1"/>
  <mergeCells count="33">
    <mergeCell ref="B2:D2"/>
    <mergeCell ref="E2:F2"/>
    <mergeCell ref="E8:F8"/>
    <mergeCell ref="E9:F9"/>
    <mergeCell ref="E10:F10"/>
    <mergeCell ref="E11:F11"/>
    <mergeCell ref="B3:F3"/>
    <mergeCell ref="B4:F4"/>
    <mergeCell ref="B6:F6"/>
    <mergeCell ref="E42:F42"/>
    <mergeCell ref="E43:F43"/>
    <mergeCell ref="B45:F45"/>
    <mergeCell ref="E33:F33"/>
    <mergeCell ref="B35:F35"/>
    <mergeCell ref="E37:F37"/>
    <mergeCell ref="E38:F38"/>
    <mergeCell ref="E39:F39"/>
    <mergeCell ref="E1:F1"/>
    <mergeCell ref="E5:F5"/>
    <mergeCell ref="E36:F36"/>
    <mergeCell ref="E40:F40"/>
    <mergeCell ref="E41:F41"/>
    <mergeCell ref="E28:F28"/>
    <mergeCell ref="B29:F29"/>
    <mergeCell ref="B30:F30"/>
    <mergeCell ref="B31:F31"/>
    <mergeCell ref="B32:F32"/>
    <mergeCell ref="B13:F13"/>
    <mergeCell ref="B14:F14"/>
    <mergeCell ref="B15:F15"/>
    <mergeCell ref="B26:F26"/>
    <mergeCell ref="E27:F27"/>
    <mergeCell ref="B7:F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showGridLines="0" zoomScaleNormal="100" workbookViewId="0">
      <selection activeCell="C9" sqref="C9"/>
    </sheetView>
  </sheetViews>
  <sheetFormatPr defaultColWidth="8.6328125" defaultRowHeight="14.5" x14ac:dyDescent="0.35"/>
  <cols>
    <col min="1" max="1" width="2" customWidth="1"/>
    <col min="2" max="2" width="48.26953125" customWidth="1"/>
    <col min="3" max="3" width="16" customWidth="1"/>
    <col min="4" max="4" width="10" customWidth="1"/>
    <col min="5" max="5" width="53" customWidth="1"/>
    <col min="6" max="6" width="2" customWidth="1"/>
  </cols>
  <sheetData>
    <row r="1" spans="1:6" ht="6" customHeight="1" x14ac:dyDescent="0.35">
      <c r="A1" s="24"/>
      <c r="B1" s="24"/>
      <c r="C1" s="24"/>
      <c r="D1" s="24"/>
      <c r="E1" s="24"/>
      <c r="F1" s="20"/>
    </row>
    <row r="2" spans="1:6" ht="31.5" customHeight="1" x14ac:dyDescent="0.35">
      <c r="A2" s="24"/>
      <c r="B2" s="40" t="s">
        <v>189</v>
      </c>
      <c r="C2" s="40"/>
      <c r="D2" s="40"/>
      <c r="E2" s="25" t="s">
        <v>0</v>
      </c>
      <c r="F2" s="20"/>
    </row>
    <row r="3" spans="1:6" ht="18" customHeight="1" x14ac:dyDescent="0.35">
      <c r="A3" s="24"/>
      <c r="B3" s="44" t="s">
        <v>186</v>
      </c>
      <c r="C3" s="44"/>
      <c r="D3" s="44"/>
      <c r="E3" s="44"/>
      <c r="F3" s="20"/>
    </row>
    <row r="4" spans="1:6" ht="24" customHeight="1" x14ac:dyDescent="0.35">
      <c r="A4" s="24"/>
      <c r="B4" s="45" t="s">
        <v>187</v>
      </c>
      <c r="C4" s="45"/>
      <c r="D4" s="45"/>
      <c r="E4" s="45"/>
      <c r="F4" s="20"/>
    </row>
    <row r="5" spans="1:6" ht="13.5" customHeight="1" x14ac:dyDescent="0.35">
      <c r="A5" s="26"/>
      <c r="B5" s="26"/>
      <c r="C5" s="26"/>
      <c r="D5" s="26"/>
      <c r="E5" s="26"/>
      <c r="F5" s="20"/>
    </row>
    <row r="6" spans="1:6" ht="8" customHeight="1" x14ac:dyDescent="0.35">
      <c r="A6" s="20"/>
      <c r="B6" s="58"/>
      <c r="C6" s="58"/>
      <c r="D6" s="58"/>
      <c r="E6" s="58"/>
      <c r="F6" s="20"/>
    </row>
    <row r="7" spans="1:6" ht="15" customHeight="1" x14ac:dyDescent="0.35">
      <c r="B7" s="42" t="s">
        <v>87</v>
      </c>
      <c r="C7" s="42"/>
      <c r="D7" s="42"/>
      <c r="E7" s="42"/>
    </row>
    <row r="8" spans="1:6" ht="15" customHeight="1" x14ac:dyDescent="0.35">
      <c r="B8" s="1" t="s">
        <v>32</v>
      </c>
      <c r="C8" s="1" t="s">
        <v>33</v>
      </c>
      <c r="D8" s="1" t="s">
        <v>34</v>
      </c>
      <c r="E8" s="1" t="s">
        <v>88</v>
      </c>
    </row>
    <row r="9" spans="1:6" ht="18" customHeight="1" x14ac:dyDescent="0.35">
      <c r="B9" s="3" t="s">
        <v>89</v>
      </c>
      <c r="C9" s="6">
        <f>Inputs!C9</f>
        <v>10</v>
      </c>
      <c r="D9" s="2" t="s">
        <v>37</v>
      </c>
      <c r="E9" s="4" t="s">
        <v>90</v>
      </c>
    </row>
    <row r="10" spans="1:6" ht="18" customHeight="1" x14ac:dyDescent="0.35">
      <c r="B10" s="3" t="s">
        <v>91</v>
      </c>
      <c r="C10" s="6">
        <f>Inputs!C10</f>
        <v>12</v>
      </c>
      <c r="D10" s="2" t="s">
        <v>37</v>
      </c>
      <c r="E10" s="4" t="s">
        <v>92</v>
      </c>
    </row>
    <row r="11" spans="1:6" ht="18" customHeight="1" x14ac:dyDescent="0.35">
      <c r="B11" s="3" t="s">
        <v>93</v>
      </c>
      <c r="C11" s="6">
        <f>Inputs!C11</f>
        <v>55</v>
      </c>
      <c r="D11" s="2" t="s">
        <v>37</v>
      </c>
      <c r="E11" s="4" t="s">
        <v>94</v>
      </c>
    </row>
    <row r="12" spans="1:6" ht="18" customHeight="1" x14ac:dyDescent="0.35">
      <c r="B12" s="3" t="s">
        <v>95</v>
      </c>
      <c r="C12" s="6">
        <f>Inputs!C27</f>
        <v>250</v>
      </c>
      <c r="D12" s="2" t="s">
        <v>59</v>
      </c>
      <c r="E12" s="4" t="s">
        <v>96</v>
      </c>
    </row>
    <row r="13" spans="1:6" ht="18" customHeight="1" x14ac:dyDescent="0.35">
      <c r="B13" s="3" t="s">
        <v>97</v>
      </c>
      <c r="C13" s="6">
        <f>Inputs!C28</f>
        <v>1</v>
      </c>
      <c r="D13" s="2" t="s">
        <v>62</v>
      </c>
      <c r="E13" s="4" t="s">
        <v>98</v>
      </c>
    </row>
    <row r="14" spans="1:6" ht="18" customHeight="1" x14ac:dyDescent="0.35">
      <c r="B14" s="3" t="s">
        <v>99</v>
      </c>
      <c r="C14" s="6">
        <f>Inputs!C39</f>
        <v>0.32</v>
      </c>
      <c r="D14" s="2" t="s">
        <v>37</v>
      </c>
      <c r="E14" s="4" t="s">
        <v>100</v>
      </c>
    </row>
    <row r="15" spans="1:6" ht="18" customHeight="1" x14ac:dyDescent="0.35">
      <c r="B15" s="3" t="s">
        <v>101</v>
      </c>
      <c r="C15" s="6">
        <f>Inputs!C40</f>
        <v>2.6666666666666668E-2</v>
      </c>
      <c r="D15" s="2" t="s">
        <v>62</v>
      </c>
      <c r="E15" s="4" t="s">
        <v>102</v>
      </c>
    </row>
    <row r="16" spans="1:6" ht="18" customHeight="1" x14ac:dyDescent="0.35">
      <c r="B16" s="3" t="s">
        <v>103</v>
      </c>
      <c r="C16" s="6">
        <f>Inputs!C41</f>
        <v>1</v>
      </c>
      <c r="D16" s="2" t="s">
        <v>62</v>
      </c>
      <c r="E16" s="4" t="s">
        <v>104</v>
      </c>
    </row>
    <row r="17" spans="2:5" ht="18" customHeight="1" x14ac:dyDescent="0.35">
      <c r="B17" s="3" t="s">
        <v>105</v>
      </c>
      <c r="C17" s="6">
        <f>Inputs!C42</f>
        <v>1</v>
      </c>
      <c r="D17" s="2" t="s">
        <v>62</v>
      </c>
      <c r="E17" s="4" t="s">
        <v>106</v>
      </c>
    </row>
    <row r="18" spans="2:5" ht="18" customHeight="1" x14ac:dyDescent="0.35">
      <c r="B18" s="3" t="s">
        <v>107</v>
      </c>
      <c r="C18" s="6">
        <f>IFERROR(AVERAGEIF(Inputs!D17:D24,"&gt;0",Inputs!D17:D24),140)</f>
        <v>35</v>
      </c>
      <c r="D18" s="2" t="s">
        <v>59</v>
      </c>
      <c r="E18" s="4" t="s">
        <v>108</v>
      </c>
    </row>
    <row r="19" spans="2:5" ht="7.5" customHeight="1" x14ac:dyDescent="0.35"/>
    <row r="20" spans="2:5" ht="15" customHeight="1" x14ac:dyDescent="0.35">
      <c r="B20" s="42" t="s">
        <v>109</v>
      </c>
      <c r="C20" s="42"/>
      <c r="D20" s="42"/>
      <c r="E20" s="42"/>
    </row>
    <row r="21" spans="2:5" ht="15" customHeight="1" x14ac:dyDescent="0.35">
      <c r="B21" s="1" t="s">
        <v>110</v>
      </c>
      <c r="C21" s="1" t="s">
        <v>33</v>
      </c>
      <c r="D21" s="1" t="s">
        <v>34</v>
      </c>
      <c r="E21" s="35" t="s">
        <v>71</v>
      </c>
    </row>
    <row r="22" spans="2:5" ht="35.5" customHeight="1" x14ac:dyDescent="0.35">
      <c r="B22" s="3" t="s">
        <v>111</v>
      </c>
      <c r="C22" s="7">
        <f>MIN(C9,AVERAGEIF(Inputs!C17:C24,"&gt;0",Inputs!C17:C24)+(C12/1000/3.14159)*LN(1+3.14159*(C9-AVERAGEIF(Inputs!C17:C24,"&gt;0",Inputs!C17:C24))/(C12/1000)))</f>
        <v>6.3132981102673345</v>
      </c>
      <c r="D22" s="2" t="s">
        <v>37</v>
      </c>
      <c r="E22" s="4"/>
    </row>
    <row r="23" spans="2:5" ht="19.5" customHeight="1" x14ac:dyDescent="0.35">
      <c r="B23" s="3" t="s">
        <v>112</v>
      </c>
      <c r="C23" s="7">
        <f>IF(C9&gt;0,C22/C9,0)</f>
        <v>0.63132981102673347</v>
      </c>
      <c r="D23" s="2" t="s">
        <v>62</v>
      </c>
      <c r="E23" s="4"/>
    </row>
    <row r="24" spans="2:5" ht="19.5" customHeight="1" x14ac:dyDescent="0.35">
      <c r="B24" s="3" t="s">
        <v>113</v>
      </c>
      <c r="C24" s="7">
        <f>IF(AND(C14&gt;0,AVERAGEIF(Inputs!C17:C24,"&gt;0",Inputs!C17:C24)&gt;0),1-(1-EXP(-(3.14159*AVERAGEIF(Inputs!C17:C24,"&gt;0",Inputs!C17:C24))/C14))/((3.14159*AVERAGEIF(Inputs!C17:C24,"&gt;0",Inputs!C17:C24))/C14),1)</f>
        <v>0.98302345839739325</v>
      </c>
      <c r="D24" s="2" t="s">
        <v>62</v>
      </c>
      <c r="E24" s="4"/>
    </row>
    <row r="25" spans="2:5" ht="19.5" customHeight="1" x14ac:dyDescent="0.35">
      <c r="B25" s="3" t="s">
        <v>114</v>
      </c>
      <c r="C25" s="7">
        <f>C24*C14</f>
        <v>0.31456750668716582</v>
      </c>
      <c r="D25" s="2" t="s">
        <v>37</v>
      </c>
      <c r="E25" s="4"/>
    </row>
    <row r="26" spans="2:5" ht="19.5" customHeight="1" x14ac:dyDescent="0.35">
      <c r="B26" s="3" t="s">
        <v>115</v>
      </c>
      <c r="C26" s="7">
        <f>IF(C14&gt;0,C9/C14,0)</f>
        <v>31.25</v>
      </c>
      <c r="D26" s="2" t="s">
        <v>62</v>
      </c>
      <c r="E26" s="4"/>
    </row>
    <row r="27" spans="2:5" ht="7.5" customHeight="1" x14ac:dyDescent="0.35"/>
    <row r="28" spans="2:5" ht="15" customHeight="1" x14ac:dyDescent="0.35">
      <c r="B28" s="42" t="s">
        <v>116</v>
      </c>
      <c r="C28" s="42"/>
      <c r="D28" s="42"/>
      <c r="E28" s="42"/>
    </row>
    <row r="29" spans="2:5" ht="27.75" customHeight="1" x14ac:dyDescent="0.35">
      <c r="B29" s="57" t="s">
        <v>117</v>
      </c>
      <c r="C29" s="57"/>
      <c r="D29" s="57"/>
      <c r="E29" s="57"/>
    </row>
    <row r="30" spans="2:5" ht="15" customHeight="1" x14ac:dyDescent="0.35">
      <c r="B30" s="1" t="s">
        <v>110</v>
      </c>
      <c r="C30" s="1" t="s">
        <v>33</v>
      </c>
      <c r="D30" s="1" t="s">
        <v>34</v>
      </c>
      <c r="E30" s="1" t="s">
        <v>71</v>
      </c>
    </row>
    <row r="31" spans="2:5" ht="19.5" customHeight="1" x14ac:dyDescent="0.35">
      <c r="B31" s="3" t="s">
        <v>118</v>
      </c>
      <c r="C31" s="8">
        <f>0.0000012566</f>
        <v>1.2566E-6</v>
      </c>
      <c r="D31" s="2" t="s">
        <v>119</v>
      </c>
      <c r="E31" s="4" t="s">
        <v>120</v>
      </c>
    </row>
    <row r="32" spans="2:5" ht="19.5" customHeight="1" x14ac:dyDescent="0.35">
      <c r="B32" s="3" t="s">
        <v>121</v>
      </c>
      <c r="C32" s="9">
        <f>2*C18/3+C12</f>
        <v>273.33333333333331</v>
      </c>
      <c r="D32" s="2" t="s">
        <v>59</v>
      </c>
      <c r="E32" s="4" t="s">
        <v>122</v>
      </c>
    </row>
    <row r="33" spans="2:5" ht="19.5" customHeight="1" x14ac:dyDescent="0.35">
      <c r="B33" s="3" t="s">
        <v>123</v>
      </c>
      <c r="C33" s="5">
        <f>C13^2+C13/3</f>
        <v>1.3333333333333333</v>
      </c>
      <c r="D33" s="2" t="s">
        <v>62</v>
      </c>
      <c r="E33" s="4" t="s">
        <v>124</v>
      </c>
    </row>
    <row r="34" spans="2:5" ht="32.5" customHeight="1" x14ac:dyDescent="0.35">
      <c r="B34" s="3" t="s">
        <v>125</v>
      </c>
      <c r="C34" s="10">
        <f>(C16^2/C13)*(C31*(C11/1000)/(C22/1000))*(C32/1000000)*C24*1000000000</f>
        <v>2.9414395485394751</v>
      </c>
      <c r="D34" s="2" t="s">
        <v>126</v>
      </c>
      <c r="E34" s="4"/>
    </row>
    <row r="35" spans="2:5" ht="6.5" customHeight="1" x14ac:dyDescent="0.35"/>
    <row r="36" spans="2:5" ht="15" customHeight="1" x14ac:dyDescent="0.35">
      <c r="B36" s="42" t="s">
        <v>127</v>
      </c>
      <c r="C36" s="42"/>
      <c r="D36" s="42"/>
      <c r="E36" s="42"/>
    </row>
    <row r="37" spans="2:5" ht="7" customHeight="1" x14ac:dyDescent="0.35">
      <c r="B37" s="57"/>
      <c r="C37" s="57"/>
      <c r="D37" s="57"/>
      <c r="E37" s="57"/>
    </row>
    <row r="38" spans="2:5" ht="15" customHeight="1" x14ac:dyDescent="0.35">
      <c r="B38" s="1" t="s">
        <v>110</v>
      </c>
      <c r="C38" s="1" t="s">
        <v>33</v>
      </c>
      <c r="D38" s="1" t="s">
        <v>34</v>
      </c>
      <c r="E38" s="1" t="s">
        <v>71</v>
      </c>
    </row>
    <row r="39" spans="2:5" ht="19.5" customHeight="1" x14ac:dyDescent="0.35">
      <c r="B39" s="3" t="s">
        <v>128</v>
      </c>
      <c r="C39" s="9">
        <f>0.65</f>
        <v>0.65</v>
      </c>
      <c r="D39" s="2" t="s">
        <v>62</v>
      </c>
      <c r="E39" s="4" t="s">
        <v>129</v>
      </c>
    </row>
    <row r="40" spans="2:5" ht="19.5" customHeight="1" x14ac:dyDescent="0.35">
      <c r="B40" s="3" t="s">
        <v>130</v>
      </c>
      <c r="C40" s="9">
        <f>1.08</f>
        <v>1.08</v>
      </c>
      <c r="D40" s="2" t="s">
        <v>62</v>
      </c>
      <c r="E40" s="4" t="s">
        <v>131</v>
      </c>
    </row>
    <row r="41" spans="2:5" ht="19.5" customHeight="1" x14ac:dyDescent="0.35">
      <c r="B41" s="3" t="s">
        <v>132</v>
      </c>
      <c r="C41" s="11">
        <f>IF(OR(C23&gt;1,C15&lt;0.1),C34,C34*(1+C39*(1-C23)+C40*(1-C15)))</f>
        <v>2.9414395485394751</v>
      </c>
      <c r="D41" s="2" t="s">
        <v>126</v>
      </c>
      <c r="E41" s="4"/>
    </row>
    <row r="42" spans="2:5" ht="7.5" customHeight="1" x14ac:dyDescent="0.35"/>
    <row r="43" spans="2:5" ht="15" customHeight="1" x14ac:dyDescent="0.35">
      <c r="B43" s="42" t="s">
        <v>133</v>
      </c>
      <c r="C43" s="42"/>
      <c r="D43" s="42"/>
      <c r="E43" s="42"/>
    </row>
    <row r="44" spans="2:5" ht="15" customHeight="1" x14ac:dyDescent="0.35">
      <c r="B44" s="1" t="s">
        <v>134</v>
      </c>
      <c r="C44" s="53" t="s">
        <v>135</v>
      </c>
      <c r="D44" s="53"/>
      <c r="E44" s="53"/>
    </row>
    <row r="45" spans="2:5" ht="19.5" customHeight="1" x14ac:dyDescent="0.35">
      <c r="B45" s="3" t="s">
        <v>136</v>
      </c>
      <c r="C45" s="56" t="str">
        <f>IF(C23&gt;1,"OUT OF RANGE — FH &gt; 1.0. Trace nearly fills window. Fringing formula saturated.",IF(C23&gt;=0.6,"GOOD — FH &gt;= 0.6. Fringing correction reliable.","CAUTION — FH &lt; 0.6. Fringing may be underestimated."))</f>
        <v>GOOD — FH &gt;= 0.6. Fringing correction reliable.</v>
      </c>
      <c r="D45" s="56"/>
      <c r="E45" s="56"/>
    </row>
    <row r="46" spans="2:5" ht="19.5" customHeight="1" x14ac:dyDescent="0.35">
      <c r="B46" s="3" t="s">
        <v>137</v>
      </c>
      <c r="C46" s="56" t="str">
        <f>IF(C15&lt;0.1,"OUT OF RANGE — FV &lt; 0.10. Stack fills &lt;10% of window. Error may reach 25%. Verify with FEA.",IF(C15&lt;0.3,"CAUTION — FV 0.10 to 0.30. Bowing correction bypassed. Error up to 15% expected.",IF(C15&gt;=0.4,"GOOD — FV &gt;= 0.40. Bowing correction active and reliable.","CAUTION — FV 0.30 to 0.40. Bowing correction borderline.")))</f>
        <v>OUT OF RANGE — FV &lt; 0.10. Stack fills &lt;10% of window. Error may reach 25%. Verify with FEA.</v>
      </c>
      <c r="D46" s="56"/>
      <c r="E46" s="56"/>
    </row>
    <row r="47" spans="2:5" ht="19.5" customHeight="1" x14ac:dyDescent="0.35">
      <c r="B47" s="3" t="s">
        <v>138</v>
      </c>
      <c r="C47" s="56" t="str">
        <f>IF(AND(C26&gt;=0.5,C26&lt;=5),"GOOD — aspect ratio within validated range (0.5 to 5.0).","CAUTION — extreme aspect ratio outside validated range. Consider FEA.")</f>
        <v>CAUTION — extreme aspect ratio outside validated range. Consider FEA.</v>
      </c>
      <c r="D47" s="56"/>
      <c r="E47" s="56"/>
    </row>
    <row r="48" spans="2:5" ht="19.5" customHeight="1" x14ac:dyDescent="0.35">
      <c r="B48" s="3" t="s">
        <v>139</v>
      </c>
      <c r="C48" s="56" t="str">
        <f>IF(C15&lt;0.1,"LIMITED — FV &lt; 0.10. Analytical result only. Error up to 25%. Recommend FEA.",IF(OR(C23&gt;1,C15&lt;0.3),"MODERATE — geometry partially outside correction range. Error up to 15%.",IF(AND(C23&gt;=0.6,C15&gt;=0.4,C26&gt;=0.5,C26&lt;=5),"HIGH — all parameters within validated range. Expected accuracy +-10%.","MODERATE — some parameters borderline. Error up to 15% expected.")))</f>
        <v>LIMITED — FV &lt; 0.10. Analytical result only. Error up to 25%. Recommend FEA.</v>
      </c>
      <c r="D48" s="56"/>
      <c r="E48" s="56"/>
    </row>
    <row r="49" spans="2:5" ht="7.5" customHeight="1" x14ac:dyDescent="0.35"/>
    <row r="50" spans="2:5" ht="15" customHeight="1" x14ac:dyDescent="0.35">
      <c r="B50" s="48" t="s">
        <v>86</v>
      </c>
      <c r="C50" s="48"/>
      <c r="D50" s="48"/>
      <c r="E50" s="48"/>
    </row>
  </sheetData>
  <sheetProtection algorithmName="SHA-512" hashValue="mzaJ1SMD2cGaYMAUs4ufKp2hzgxveNcGX6v0/dYYpkZq2UocdtdcJXYwybgKnVpjZGROtz7FxkPD2Ef8R4dzrQ==" saltValue="+Nj0hshXsoAIfrBdfTHlnw==" spinCount="100000" sheet="1" objects="1" scenarios="1" selectLockedCells="1"/>
  <mergeCells count="17">
    <mergeCell ref="B6:E6"/>
    <mergeCell ref="C47:E47"/>
    <mergeCell ref="C48:E48"/>
    <mergeCell ref="B50:E50"/>
    <mergeCell ref="B2:D2"/>
    <mergeCell ref="B3:E3"/>
    <mergeCell ref="B4:E4"/>
    <mergeCell ref="B37:E37"/>
    <mergeCell ref="B43:E43"/>
    <mergeCell ref="C44:E44"/>
    <mergeCell ref="C45:E45"/>
    <mergeCell ref="C46:E46"/>
    <mergeCell ref="B7:E7"/>
    <mergeCell ref="B20:E20"/>
    <mergeCell ref="B28:E28"/>
    <mergeCell ref="B29:E29"/>
    <mergeCell ref="B36:E3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showGridLines="0" tabSelected="1" zoomScale="85" zoomScaleNormal="85" workbookViewId="0">
      <selection activeCell="B6" sqref="B6:E6"/>
    </sheetView>
  </sheetViews>
  <sheetFormatPr defaultColWidth="8.6328125" defaultRowHeight="14.5" x14ac:dyDescent="0.35"/>
  <cols>
    <col min="1" max="1" width="2" customWidth="1"/>
    <col min="2" max="2" width="35.08984375" customWidth="1"/>
    <col min="3" max="3" width="16" customWidth="1"/>
    <col min="4" max="4" width="10" customWidth="1"/>
    <col min="5" max="5" width="57.453125" customWidth="1"/>
    <col min="6" max="6" width="2" customWidth="1"/>
  </cols>
  <sheetData>
    <row r="1" spans="1:6" ht="6" customHeight="1" x14ac:dyDescent="0.35">
      <c r="A1" s="24"/>
      <c r="B1" s="24"/>
      <c r="C1" s="24"/>
      <c r="D1" s="24"/>
      <c r="E1" s="24"/>
    </row>
    <row r="2" spans="1:6" ht="31.5" customHeight="1" x14ac:dyDescent="0.35">
      <c r="A2" s="24"/>
      <c r="B2" s="40" t="s">
        <v>188</v>
      </c>
      <c r="C2" s="40"/>
      <c r="D2" s="40"/>
      <c r="E2" s="25" t="s">
        <v>0</v>
      </c>
      <c r="F2" s="20"/>
    </row>
    <row r="3" spans="1:6" ht="18" customHeight="1" x14ac:dyDescent="0.35">
      <c r="A3" s="24"/>
      <c r="B3" s="44" t="s">
        <v>186</v>
      </c>
      <c r="C3" s="44"/>
      <c r="D3" s="44"/>
      <c r="E3" s="44"/>
      <c r="F3" s="21"/>
    </row>
    <row r="4" spans="1:6" ht="24" customHeight="1" x14ac:dyDescent="0.35">
      <c r="A4" s="24"/>
      <c r="B4" s="45" t="s">
        <v>187</v>
      </c>
      <c r="C4" s="45"/>
      <c r="D4" s="45"/>
      <c r="E4" s="45"/>
      <c r="F4" s="22"/>
    </row>
    <row r="5" spans="1:6" ht="13.5" customHeight="1" x14ac:dyDescent="0.35">
      <c r="A5" s="26"/>
      <c r="B5" s="26"/>
      <c r="C5" s="26"/>
      <c r="D5" s="26"/>
      <c r="E5" s="26"/>
      <c r="F5" s="23"/>
    </row>
    <row r="6" spans="1:6" ht="7.5" customHeight="1" x14ac:dyDescent="0.35">
      <c r="A6" s="20"/>
      <c r="B6" s="58"/>
      <c r="C6" s="58"/>
      <c r="D6" s="58"/>
      <c r="E6" s="58"/>
    </row>
    <row r="7" spans="1:6" ht="3.75" customHeight="1" x14ac:dyDescent="0.35">
      <c r="B7" s="12"/>
      <c r="C7" s="12"/>
      <c r="D7" s="12"/>
      <c r="E7" s="12"/>
    </row>
    <row r="8" spans="1:6" ht="7.5" customHeight="1" x14ac:dyDescent="0.35"/>
    <row r="9" spans="1:6" ht="15" customHeight="1" x14ac:dyDescent="0.35">
      <c r="B9" s="42" t="s">
        <v>140</v>
      </c>
      <c r="C9" s="42"/>
      <c r="D9" s="42"/>
      <c r="E9" s="42"/>
    </row>
    <row r="10" spans="1:6" ht="15" customHeight="1" x14ac:dyDescent="0.35">
      <c r="B10" s="1" t="s">
        <v>32</v>
      </c>
      <c r="C10" s="1" t="s">
        <v>33</v>
      </c>
      <c r="D10" s="1" t="s">
        <v>34</v>
      </c>
      <c r="E10" s="1" t="s">
        <v>71</v>
      </c>
    </row>
    <row r="11" spans="1:6" ht="19.5" customHeight="1" x14ac:dyDescent="0.35">
      <c r="B11" s="3" t="s">
        <v>36</v>
      </c>
      <c r="C11" s="13">
        <f>Inputs!C9</f>
        <v>10</v>
      </c>
      <c r="D11" s="2" t="s">
        <v>37</v>
      </c>
      <c r="E11" s="4" t="s">
        <v>141</v>
      </c>
    </row>
    <row r="12" spans="1:6" ht="19.5" customHeight="1" x14ac:dyDescent="0.35">
      <c r="B12" s="3" t="s">
        <v>39</v>
      </c>
      <c r="C12" s="13">
        <f>Inputs!C10</f>
        <v>12</v>
      </c>
      <c r="D12" s="2" t="s">
        <v>37</v>
      </c>
      <c r="E12" s="4" t="s">
        <v>142</v>
      </c>
    </row>
    <row r="13" spans="1:6" ht="19.5" customHeight="1" x14ac:dyDescent="0.35">
      <c r="B13" s="3" t="s">
        <v>143</v>
      </c>
      <c r="C13" s="13">
        <f>Inputs!C11</f>
        <v>55</v>
      </c>
      <c r="D13" s="2" t="s">
        <v>37</v>
      </c>
      <c r="E13" s="4" t="s">
        <v>144</v>
      </c>
    </row>
    <row r="14" spans="1:6" ht="19.5" customHeight="1" x14ac:dyDescent="0.35">
      <c r="B14" s="3" t="s">
        <v>145</v>
      </c>
      <c r="C14" s="13">
        <f>Inputs!C27</f>
        <v>250</v>
      </c>
      <c r="D14" s="2" t="s">
        <v>59</v>
      </c>
      <c r="E14" s="4" t="s">
        <v>146</v>
      </c>
    </row>
    <row r="15" spans="1:6" ht="19.5" customHeight="1" x14ac:dyDescent="0.35">
      <c r="B15" s="3" t="s">
        <v>147</v>
      </c>
      <c r="C15" s="13">
        <f>Inputs!C28</f>
        <v>1</v>
      </c>
      <c r="D15" s="2" t="s">
        <v>62</v>
      </c>
      <c r="E15" s="4" t="s">
        <v>148</v>
      </c>
    </row>
    <row r="16" spans="1:6" ht="19.5" customHeight="1" x14ac:dyDescent="0.35">
      <c r="B16" s="3" t="s">
        <v>149</v>
      </c>
      <c r="C16" s="13">
        <f>Inputs!C41</f>
        <v>1</v>
      </c>
      <c r="D16" s="2" t="s">
        <v>62</v>
      </c>
      <c r="E16" s="4" t="s">
        <v>150</v>
      </c>
    </row>
    <row r="17" spans="2:5" ht="19.5" customHeight="1" x14ac:dyDescent="0.35">
      <c r="B17" s="3" t="s">
        <v>151</v>
      </c>
      <c r="C17" s="13">
        <f>Inputs!C42</f>
        <v>1</v>
      </c>
      <c r="D17" s="2" t="s">
        <v>62</v>
      </c>
      <c r="E17" s="4" t="s">
        <v>152</v>
      </c>
    </row>
    <row r="18" spans="2:5" ht="19.5" customHeight="1" x14ac:dyDescent="0.35">
      <c r="B18" s="3" t="s">
        <v>153</v>
      </c>
      <c r="C18" s="13">
        <f>Inputs!C43</f>
        <v>1</v>
      </c>
      <c r="D18" s="2" t="s">
        <v>62</v>
      </c>
      <c r="E18" s="4" t="s">
        <v>154</v>
      </c>
    </row>
    <row r="19" spans="2:5" ht="7.5" customHeight="1" x14ac:dyDescent="0.35"/>
    <row r="20" spans="2:5" ht="15" customHeight="1" x14ac:dyDescent="0.35">
      <c r="B20" s="42" t="s">
        <v>155</v>
      </c>
      <c r="C20" s="42"/>
      <c r="D20" s="42"/>
      <c r="E20" s="42"/>
    </row>
    <row r="21" spans="2:5" ht="15" customHeight="1" x14ac:dyDescent="0.35">
      <c r="B21" s="1" t="s">
        <v>110</v>
      </c>
      <c r="C21" s="1" t="s">
        <v>33</v>
      </c>
      <c r="D21" s="1" t="s">
        <v>34</v>
      </c>
      <c r="E21" s="1" t="s">
        <v>156</v>
      </c>
    </row>
    <row r="22" spans="2:5" ht="19.5" customHeight="1" x14ac:dyDescent="0.35">
      <c r="B22" s="3" t="s">
        <v>157</v>
      </c>
      <c r="C22" s="6">
        <f>Process!C22</f>
        <v>6.3132981102673345</v>
      </c>
      <c r="D22" s="2" t="s">
        <v>37</v>
      </c>
      <c r="E22" s="4" t="s">
        <v>158</v>
      </c>
    </row>
    <row r="23" spans="2:5" ht="19.5" customHeight="1" x14ac:dyDescent="0.35">
      <c r="B23" s="3" t="s">
        <v>159</v>
      </c>
      <c r="C23" s="6">
        <f>Process!C24</f>
        <v>0.98302345839739325</v>
      </c>
      <c r="D23" s="2" t="s">
        <v>62</v>
      </c>
      <c r="E23" s="4" t="s">
        <v>160</v>
      </c>
    </row>
    <row r="24" spans="2:5" ht="19.5" customHeight="1" x14ac:dyDescent="0.35">
      <c r="B24" s="3" t="s">
        <v>112</v>
      </c>
      <c r="C24" s="6">
        <f>Process!C23</f>
        <v>0.63132981102673347</v>
      </c>
      <c r="D24" s="2" t="s">
        <v>62</v>
      </c>
      <c r="E24" s="4" t="s">
        <v>161</v>
      </c>
    </row>
    <row r="25" spans="2:5" ht="19.5" customHeight="1" x14ac:dyDescent="0.35">
      <c r="B25" s="3" t="s">
        <v>101</v>
      </c>
      <c r="C25" s="6">
        <f>Inputs!C40</f>
        <v>2.6666666666666668E-2</v>
      </c>
      <c r="D25" s="2" t="s">
        <v>62</v>
      </c>
      <c r="E25" s="4" t="s">
        <v>162</v>
      </c>
    </row>
    <row r="26" spans="2:5" ht="19.5" customHeight="1" x14ac:dyDescent="0.35">
      <c r="B26" s="3" t="s">
        <v>163</v>
      </c>
      <c r="C26" s="6">
        <f>Process!C32</f>
        <v>273.33333333333331</v>
      </c>
      <c r="D26" s="2" t="s">
        <v>59</v>
      </c>
      <c r="E26" s="4" t="s">
        <v>164</v>
      </c>
    </row>
    <row r="27" spans="2:5" ht="7.5" customHeight="1" x14ac:dyDescent="0.35"/>
    <row r="28" spans="2:5" ht="15" customHeight="1" x14ac:dyDescent="0.35">
      <c r="B28" s="42" t="s">
        <v>165</v>
      </c>
      <c r="C28" s="42"/>
      <c r="D28" s="42"/>
      <c r="E28" s="42"/>
    </row>
    <row r="29" spans="2:5" ht="18" customHeight="1" x14ac:dyDescent="0.35">
      <c r="B29" s="62" t="s">
        <v>166</v>
      </c>
      <c r="C29" s="62"/>
      <c r="D29" s="62"/>
      <c r="E29" s="62"/>
    </row>
    <row r="30" spans="2:5" ht="37.5" customHeight="1" x14ac:dyDescent="0.35">
      <c r="B30" s="63">
        <f>Process!C34</f>
        <v>2.9414395485394751</v>
      </c>
      <c r="C30" s="63"/>
      <c r="D30" s="14" t="s">
        <v>126</v>
      </c>
      <c r="E30" s="15" t="s">
        <v>167</v>
      </c>
    </row>
    <row r="31" spans="2:5" ht="6" customHeight="1" x14ac:dyDescent="0.35"/>
    <row r="32" spans="2:5" ht="18" customHeight="1" x14ac:dyDescent="0.35">
      <c r="B32" s="64" t="s">
        <v>168</v>
      </c>
      <c r="C32" s="64"/>
      <c r="D32" s="64"/>
      <c r="E32" s="64"/>
    </row>
    <row r="33" spans="2:5" ht="37.5" customHeight="1" x14ac:dyDescent="0.35">
      <c r="B33" s="61">
        <f>Process!C41</f>
        <v>2.9414395485394751</v>
      </c>
      <c r="C33" s="61"/>
      <c r="D33" s="16" t="s">
        <v>126</v>
      </c>
      <c r="E33" s="17" t="s">
        <v>169</v>
      </c>
    </row>
    <row r="34" spans="2:5" ht="6" customHeight="1" x14ac:dyDescent="0.35"/>
    <row r="35" spans="2:5" ht="19.5" customHeight="1" x14ac:dyDescent="0.35">
      <c r="B35" s="3" t="s">
        <v>170</v>
      </c>
      <c r="C35" s="18">
        <f>IF(Inputs!C43&gt;0,Process!C34/Inputs!C43^2,0)</f>
        <v>2.9414395485394751</v>
      </c>
      <c r="D35" s="2" t="s">
        <v>126</v>
      </c>
      <c r="E35" s="4" t="s">
        <v>171</v>
      </c>
    </row>
    <row r="36" spans="2:5" ht="19.5" customHeight="1" x14ac:dyDescent="0.35">
      <c r="B36" s="3" t="s">
        <v>172</v>
      </c>
      <c r="C36" s="19">
        <f>IF(Inputs!C43&gt;0,Process!C41/Inputs!C43^2,0)</f>
        <v>2.9414395485394751</v>
      </c>
      <c r="D36" s="2" t="s">
        <v>126</v>
      </c>
      <c r="E36" s="4" t="s">
        <v>171</v>
      </c>
    </row>
    <row r="37" spans="2:5" ht="7.5" customHeight="1" x14ac:dyDescent="0.35"/>
    <row r="38" spans="2:5" ht="15" customHeight="1" x14ac:dyDescent="0.35">
      <c r="B38" s="42" t="s">
        <v>173</v>
      </c>
      <c r="C38" s="42"/>
      <c r="D38" s="42"/>
      <c r="E38" s="42"/>
    </row>
    <row r="39" spans="2:5" ht="15" customHeight="1" x14ac:dyDescent="0.35">
      <c r="B39" s="1" t="s">
        <v>134</v>
      </c>
      <c r="C39" s="53" t="s">
        <v>135</v>
      </c>
      <c r="D39" s="53"/>
      <c r="E39" s="53"/>
    </row>
    <row r="40" spans="2:5" ht="19.5" customHeight="1" x14ac:dyDescent="0.35">
      <c r="B40" s="3" t="s">
        <v>174</v>
      </c>
      <c r="C40" s="56" t="str">
        <f>Process!C45</f>
        <v>GOOD — FH &gt;= 0.6. Fringing correction reliable.</v>
      </c>
      <c r="D40" s="56"/>
      <c r="E40" s="56"/>
    </row>
    <row r="41" spans="2:5" ht="19.5" customHeight="1" x14ac:dyDescent="0.35">
      <c r="B41" s="3" t="s">
        <v>175</v>
      </c>
      <c r="C41" s="56" t="str">
        <f>Process!C46</f>
        <v>OUT OF RANGE — FV &lt; 0.10. Stack fills &lt;10% of window. Error may reach 25%. Verify with FEA.</v>
      </c>
      <c r="D41" s="56"/>
      <c r="E41" s="56"/>
    </row>
    <row r="42" spans="2:5" ht="19.5" customHeight="1" x14ac:dyDescent="0.35">
      <c r="B42" s="3" t="s">
        <v>176</v>
      </c>
      <c r="C42" s="56" t="str">
        <f>Process!C47</f>
        <v>CAUTION — extreme aspect ratio outside validated range. Consider FEA.</v>
      </c>
      <c r="D42" s="56"/>
      <c r="E42" s="56"/>
    </row>
    <row r="43" spans="2:5" ht="19.5" customHeight="1" x14ac:dyDescent="0.35">
      <c r="B43" s="3" t="s">
        <v>139</v>
      </c>
      <c r="C43" s="56" t="str">
        <f>Process!C48</f>
        <v>LIMITED — FV &lt; 0.10. Analytical result only. Error up to 25%. Recommend FEA.</v>
      </c>
      <c r="D43" s="56"/>
      <c r="E43" s="56"/>
    </row>
    <row r="44" spans="2:5" ht="7.5" customHeight="1" x14ac:dyDescent="0.35"/>
    <row r="45" spans="2:5" ht="15" customHeight="1" x14ac:dyDescent="0.35">
      <c r="B45" s="60" t="s">
        <v>177</v>
      </c>
      <c r="C45" s="60"/>
      <c r="D45" s="60"/>
      <c r="E45" s="60"/>
    </row>
    <row r="46" spans="2:5" ht="25.5" customHeight="1" x14ac:dyDescent="0.35">
      <c r="B46" s="59" t="s">
        <v>178</v>
      </c>
      <c r="C46" s="59"/>
      <c r="D46" s="59"/>
      <c r="E46" s="59"/>
    </row>
    <row r="47" spans="2:5" ht="25.5" customHeight="1" x14ac:dyDescent="0.35">
      <c r="B47" s="59" t="s">
        <v>179</v>
      </c>
      <c r="C47" s="59"/>
      <c r="D47" s="59"/>
      <c r="E47" s="59"/>
    </row>
    <row r="48" spans="2:5" ht="25.5" customHeight="1" x14ac:dyDescent="0.35">
      <c r="B48" s="59" t="s">
        <v>180</v>
      </c>
      <c r="C48" s="59"/>
      <c r="D48" s="59"/>
      <c r="E48" s="59"/>
    </row>
    <row r="49" spans="2:5" ht="7.5" customHeight="1" x14ac:dyDescent="0.35"/>
    <row r="50" spans="2:5" ht="3.75" customHeight="1" x14ac:dyDescent="0.35">
      <c r="B50" s="12"/>
      <c r="C50" s="12"/>
      <c r="D50" s="12"/>
      <c r="E50" s="12"/>
    </row>
    <row r="51" spans="2:5" ht="15.75" customHeight="1" x14ac:dyDescent="0.35">
      <c r="B51" s="37" t="s">
        <v>181</v>
      </c>
      <c r="C51" s="37"/>
      <c r="D51" s="37"/>
      <c r="E51" s="37"/>
    </row>
  </sheetData>
  <sheetProtection algorithmName="SHA-512" hashValue="amG8vyGYxpcBgluKnJhdj0HoNbnyGO9GB2EzBlkAbR+ohExYCpnDJJNOrXIDkSG5zYGJH0Ozh99+9DCdW/o3hA==" saltValue="v3CuEMdzZERIdk0BU7xpbg==" spinCount="100000" sheet="1" objects="1" scenarios="1" selectLockedCells="1"/>
  <mergeCells count="22">
    <mergeCell ref="B9:E9"/>
    <mergeCell ref="B20:E20"/>
    <mergeCell ref="B28:E28"/>
    <mergeCell ref="B29:E29"/>
    <mergeCell ref="B30:C30"/>
    <mergeCell ref="B32:E32"/>
    <mergeCell ref="B48:E48"/>
    <mergeCell ref="B51:E51"/>
    <mergeCell ref="B2:D2"/>
    <mergeCell ref="B3:E3"/>
    <mergeCell ref="B4:E4"/>
    <mergeCell ref="B6:E6"/>
    <mergeCell ref="C42:E42"/>
    <mergeCell ref="C43:E43"/>
    <mergeCell ref="B45:E45"/>
    <mergeCell ref="B46:E46"/>
    <mergeCell ref="B47:E47"/>
    <mergeCell ref="B33:C33"/>
    <mergeCell ref="B38:E38"/>
    <mergeCell ref="C39:E39"/>
    <mergeCell ref="C40:E40"/>
    <mergeCell ref="C41:E4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Inputs</vt:lpstr>
      <vt:lpstr>Process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Sridharan Padmanabhan</cp:lastModifiedBy>
  <cp:revision>0</cp:revision>
  <dcterms:created xsi:type="dcterms:W3CDTF">2026-06-15T12:33:36Z</dcterms:created>
  <dcterms:modified xsi:type="dcterms:W3CDTF">2026-06-19T12:07:41Z</dcterms:modified>
  <dc:language>en-US</dc:language>
</cp:coreProperties>
</file>