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https://reitoriaunespbr-my.sharepoint.com/personal/m_garcia_unesp_br/Documents/STAT Mahuan/Paula/"/>
    </mc:Choice>
  </mc:AlternateContent>
  <xr:revisionPtr revIDLastSave="159" documentId="13_ncr:1_{27C2BEF5-6CFC-4FBF-BEF8-620724DC92D4}" xr6:coauthVersionLast="47" xr6:coauthVersionMax="47" xr10:uidLastSave="{F948E80E-1A75-4097-BA8F-FD2743773443}"/>
  <bookViews>
    <workbookView xWindow="-120" yWindow="-120" windowWidth="38640" windowHeight="15840" xr2:uid="{5F5739A2-E1E1-4F01-9B63-7732AA6C50A1}"/>
  </bookViews>
  <sheets>
    <sheet name="Objetivos Desempenho ROSS" sheetId="1" r:id="rId1"/>
    <sheet name="Objetivos desempenho COBB" sheetId="3" r:id="rId2"/>
    <sheet name="Equações ROSS" sheetId="2" r:id="rId3"/>
    <sheet name="Equações COB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K25" i="3" s="1"/>
  <c r="D23" i="3"/>
  <c r="J23" i="3" s="1"/>
  <c r="D21" i="3"/>
  <c r="L21" i="3" s="1"/>
  <c r="K15" i="3"/>
  <c r="J15" i="3"/>
  <c r="L15" i="3"/>
  <c r="I15" i="3"/>
  <c r="H15" i="3"/>
  <c r="G15" i="3"/>
  <c r="K13" i="3"/>
  <c r="J13" i="3"/>
  <c r="L13" i="3"/>
  <c r="I13" i="3"/>
  <c r="H13" i="3"/>
  <c r="G13" i="3"/>
  <c r="K11" i="3"/>
  <c r="J11" i="3"/>
  <c r="L11" i="3"/>
  <c r="I11" i="3"/>
  <c r="H11" i="3"/>
  <c r="G11" i="3"/>
  <c r="D25" i="1"/>
  <c r="D23" i="1"/>
  <c r="M23" i="1" s="1"/>
  <c r="D21" i="1"/>
  <c r="M21" i="1" s="1"/>
  <c r="B11" i="1"/>
  <c r="H13" i="1" s="1"/>
  <c r="J21" i="3" l="1"/>
  <c r="K21" i="3"/>
  <c r="K23" i="3"/>
  <c r="N11" i="1"/>
  <c r="M11" i="1"/>
  <c r="J11" i="1"/>
  <c r="K13" i="1"/>
  <c r="O13" i="1"/>
  <c r="I13" i="1"/>
  <c r="G11" i="1"/>
  <c r="J13" i="1"/>
  <c r="M13" i="1"/>
  <c r="K11" i="1"/>
  <c r="I11" i="1"/>
  <c r="H11" i="1"/>
  <c r="H15" i="1" s="1"/>
  <c r="N13" i="1"/>
  <c r="G13" i="1"/>
  <c r="O11" i="1"/>
  <c r="M25" i="1"/>
  <c r="N21" i="1"/>
  <c r="G21" i="1"/>
  <c r="O21" i="1"/>
  <c r="H21" i="1"/>
  <c r="I21" i="1"/>
  <c r="K21" i="1"/>
  <c r="J21" i="1"/>
  <c r="N23" i="1"/>
  <c r="G23" i="1"/>
  <c r="O23" i="1"/>
  <c r="I23" i="1"/>
  <c r="K23" i="1"/>
  <c r="H23" i="1"/>
  <c r="J23" i="1"/>
  <c r="G25" i="3"/>
  <c r="I25" i="3"/>
  <c r="H21" i="3"/>
  <c r="I23" i="3"/>
  <c r="L25" i="3"/>
  <c r="H23" i="3"/>
  <c r="I21" i="3"/>
  <c r="L23" i="3"/>
  <c r="J25" i="3"/>
  <c r="G23" i="3"/>
  <c r="H25" i="3"/>
  <c r="G21" i="3"/>
  <c r="N15" i="1" l="1"/>
  <c r="M15" i="1"/>
  <c r="J15" i="1"/>
  <c r="O15" i="1"/>
  <c r="K15" i="1"/>
  <c r="G15" i="1"/>
  <c r="I15" i="1"/>
  <c r="N25" i="1"/>
  <c r="K25" i="1"/>
  <c r="H25" i="1"/>
  <c r="J25" i="1"/>
  <c r="I25" i="1"/>
  <c r="O25" i="1"/>
  <c r="G25" i="1"/>
</calcChain>
</file>

<file path=xl/sharedStrings.xml><?xml version="1.0" encoding="utf-8"?>
<sst xmlns="http://schemas.openxmlformats.org/spreadsheetml/2006/main" count="206" uniqueCount="102">
  <si>
    <t>PesoVivo_kg_M</t>
  </si>
  <si>
    <r>
      <t>PorcaoPeitoP_</t>
    </r>
    <r>
      <rPr>
        <b/>
        <sz val="10"/>
        <rFont val="Arial"/>
        <family val="2"/>
      </rPr>
      <t>M</t>
    </r>
  </si>
  <si>
    <t>CoxaP_M</t>
  </si>
  <si>
    <t>SobrecoxaP_M</t>
  </si>
  <si>
    <t>AsaP_M</t>
  </si>
  <si>
    <t>CarneCoxaDes_M</t>
  </si>
  <si>
    <t>PeitoDes_M</t>
  </si>
  <si>
    <t>TotalCarne_M</t>
  </si>
  <si>
    <t>Eviscerada_P_M</t>
  </si>
  <si>
    <t>Porção (gramas)</t>
  </si>
  <si>
    <t>Desossado (gramas)</t>
  </si>
  <si>
    <t>Peso vivo</t>
  </si>
  <si>
    <t>Peito</t>
  </si>
  <si>
    <t>Coxa</t>
  </si>
  <si>
    <t>Sobrecoxa</t>
  </si>
  <si>
    <t>Asa</t>
  </si>
  <si>
    <t>Total Carne</t>
  </si>
  <si>
    <t>Machos</t>
  </si>
  <si>
    <t>Fêmeas</t>
  </si>
  <si>
    <t>Dia</t>
  </si>
  <si>
    <t>Prof. Associado Manoel Garcia Neto</t>
  </si>
  <si>
    <t>PesoVivo_kg_F</t>
  </si>
  <si>
    <t>PorcaoPeitoP_F</t>
  </si>
  <si>
    <t>PeitoDes_F</t>
  </si>
  <si>
    <t>TotalCarne_F</t>
  </si>
  <si>
    <t>Eviscerado_P_F</t>
  </si>
  <si>
    <t>Peso_Macho</t>
  </si>
  <si>
    <t>Peso_Femea</t>
  </si>
  <si>
    <t>Peso_Misto</t>
  </si>
  <si>
    <t>Objetivos de desempenho para  frangos de corte</t>
  </si>
  <si>
    <t>Mistos</t>
  </si>
  <si>
    <t>kg</t>
  </si>
  <si>
    <t xml:space="preserve">https://www.fmva.unesp.br/#!/ensino/corpo-docente/ </t>
  </si>
  <si>
    <t>Rendimentos das partes principais mudam com o aumento do peso vivo em machos e fêmeas. Dois tipos de processamento de aves são descritos abaixo: rendimento eviscerado, dividido em peito, asa, coxa e sobrecoxa, para representar um processamento de aves em cortes, e rendimento em peito e pernas, para representar um processamento de aves desossadas.</t>
  </si>
  <si>
    <t>Carcaça</t>
  </si>
  <si>
    <t>Peito desossado</t>
  </si>
  <si>
    <t>Coxa e sobrecoxa</t>
  </si>
  <si>
    <t>g</t>
  </si>
  <si>
    <t>https://www.cobbgenetics.com/assets/Cobb-Files/2022-Cobb500-Broiler-Performance-Nutrition-Supplement.pdf</t>
  </si>
  <si>
    <t>https://www.freepik.com/premium-vector/collection-chicken-parts_19366079.htm#from_element=cross_selling__vector</t>
  </si>
  <si>
    <t>https://www.freepik.com/free-vector/colored-sketch-chicken-meat-parts-set_9514123.htm#fromView=keyword&amp;page=1&amp;position=7&amp;uuid=b8043710-f03d-49bd-8854-95ceaa9a9d5f&amp;from_element=cross_selling__vector&amp;query=Chicken+cuts+diagram</t>
  </si>
  <si>
    <r>
      <rPr>
        <sz val="12"/>
        <color rgb="FFD91E39"/>
        <rFont val="Arial Black"/>
        <family val="2"/>
      </rPr>
      <t>Yield Performance</t>
    </r>
  </si>
  <si>
    <r>
      <rPr>
        <b/>
        <sz val="7"/>
        <color rgb="FFD91E39"/>
        <rFont val="Calibri"/>
        <family val="2"/>
      </rPr>
      <t>YIELD PERFORMANCE</t>
    </r>
  </si>
  <si>
    <t>Female Cobb 500 Broiler Yield (% of Live Weight)</t>
  </si>
  <si>
    <t>METRIC (AS HATCHED)</t>
  </si>
  <si>
    <t>METRIC (MALE)</t>
  </si>
  <si>
    <t>METRIC (FEMALE)</t>
  </si>
  <si>
    <r>
      <rPr>
        <sz val="8"/>
        <color rgb="FF414042"/>
        <rFont val="Arial"/>
        <family val="2"/>
      </rPr>
      <t xml:space="preserve">Meat yield is dependent on many factors, but those that have the most influence are weight, age
</t>
    </r>
    <r>
      <rPr>
        <sz val="8"/>
        <color rgb="FF414042"/>
        <rFont val="Arial"/>
        <family val="2"/>
      </rPr>
      <t xml:space="preserve">and nutrition.
</t>
    </r>
    <r>
      <rPr>
        <u/>
        <sz val="8.5"/>
        <color rgb="FF231F20"/>
        <rFont val="Arial Black"/>
        <family val="2"/>
      </rPr>
      <t xml:space="preserve">Weight
</t>
    </r>
    <r>
      <rPr>
        <sz val="8"/>
        <color rgb="FF414042"/>
        <rFont val="Arial"/>
        <family val="2"/>
      </rPr>
      <t xml:space="preserve">Carcass and breast meat yield increase as a function of live weight at any given age.
</t>
    </r>
    <r>
      <rPr>
        <u/>
        <sz val="8.5"/>
        <color rgb="FF231F20"/>
        <rFont val="Arial Black"/>
        <family val="2"/>
      </rPr>
      <t xml:space="preserve">Age
</t>
    </r>
    <r>
      <rPr>
        <sz val="8"/>
        <color rgb="FF414042"/>
        <rFont val="Arial"/>
        <family val="2"/>
      </rPr>
      <t xml:space="preserve">Carcass and breast meat yield increase as a function of age.
</t>
    </r>
    <r>
      <rPr>
        <sz val="8"/>
        <color rgb="FF414042"/>
        <rFont val="Arial"/>
        <family val="2"/>
      </rPr>
      <t>Older birds processed at the same weight as their younger counterparts will often yield more</t>
    </r>
    <r>
      <rPr>
        <sz val="8.5"/>
        <color rgb="FF414042"/>
        <rFont val="Arial"/>
        <family val="2"/>
      </rPr>
      <t xml:space="preserve">.
</t>
    </r>
    <r>
      <rPr>
        <u/>
        <sz val="8.5"/>
        <color rgb="FF231F20"/>
        <rFont val="Arial Black"/>
        <family val="2"/>
      </rPr>
      <t xml:space="preserve">Feed, yield and economics
</t>
    </r>
    <r>
      <rPr>
        <sz val="8"/>
        <color rgb="FF414042"/>
        <rFont val="Arial"/>
        <family val="2"/>
      </rPr>
      <t xml:space="preserve">Carcass composition is affected by nutrition.
</t>
    </r>
    <r>
      <rPr>
        <sz val="8"/>
        <color rgb="FF414042"/>
        <rFont val="Arial"/>
        <family val="2"/>
      </rPr>
      <t xml:space="preserve">Rations of varying nutrient density will affect yield in different ways. Cobb data has shown that protein and amino acids can be elevated by approximately 8 % for the purpose of increasing breast meat yield, although higher feed cost per unit of live weight may be a secondary result.
</t>
    </r>
    <r>
      <rPr>
        <sz val="8"/>
        <color rgb="FF414042"/>
        <rFont val="Arial"/>
        <family val="2"/>
      </rPr>
      <t xml:space="preserve">For the most economical feed per unit of live weight, lower amino acids may be more applicable,
</t>
    </r>
    <r>
      <rPr>
        <sz val="8"/>
        <color rgb="FF414042"/>
        <rFont val="Arial"/>
        <family val="2"/>
      </rPr>
      <t xml:space="preserve">although slower growth rate and higher FCR may be a secondary result.
</t>
    </r>
    <r>
      <rPr>
        <sz val="8"/>
        <color rgb="FF414042"/>
        <rFont val="Arial"/>
        <family val="2"/>
      </rPr>
      <t xml:space="preserve">The exact overall levels of amino acids should be determined by ingredient prices and finished
</t>
    </r>
    <r>
      <rPr>
        <sz val="8"/>
        <color rgb="FF414042"/>
        <rFont val="Arial"/>
        <family val="2"/>
      </rPr>
      <t xml:space="preserve">product values (from the processing plant).
</t>
    </r>
    <r>
      <rPr>
        <sz val="8"/>
        <color rgb="FF414042"/>
        <rFont val="Arial"/>
        <family val="2"/>
      </rPr>
      <t xml:space="preserve">The Cobb500 is a flexible broiler that can bring good costs from low amino acid density feeds, or
</t>
    </r>
    <r>
      <rPr>
        <sz val="8"/>
        <color rgb="FF414042"/>
        <rFont val="Arial"/>
        <family val="2"/>
      </rPr>
      <t xml:space="preserve">will respond with accelerated growth and breast yield using high amino acid levels.
</t>
    </r>
    <r>
      <rPr>
        <sz val="8"/>
        <color rgb="FF414042"/>
        <rFont val="Arial"/>
        <family val="2"/>
      </rPr>
      <t>Cobb technical service team will gladly assist customers to match specific economic priorities with formulation; however, the recommendations in this supplement represent very sound overall baseline levels.</t>
    </r>
  </si>
  <si>
    <t>C500 Broiler Performance Objectives (Metric) - As Hatched</t>
  </si>
  <si>
    <t>C500 Broiler Performance Objectives (Metric) - Male</t>
  </si>
  <si>
    <t>C500 Broiler Performance Objectives (Metric) - Female</t>
  </si>
  <si>
    <t>As Hatched Cobb 500 Broiler Yield (% of Live Weight)</t>
  </si>
  <si>
    <r>
      <rPr>
        <b/>
        <sz val="8.5"/>
        <color rgb="FFFFFFFF"/>
        <rFont val="Calibri"/>
        <family val="2"/>
      </rPr>
      <t>Live Weight</t>
    </r>
  </si>
  <si>
    <r>
      <rPr>
        <b/>
        <sz val="8.5"/>
        <color rgb="FFFFFFFF"/>
        <rFont val="Calibri"/>
        <family val="2"/>
      </rPr>
      <t>Carcass</t>
    </r>
  </si>
  <si>
    <r>
      <rPr>
        <b/>
        <sz val="8.5"/>
        <color rgb="FFFFFFFF"/>
        <rFont val="Calibri"/>
        <family val="2"/>
      </rPr>
      <t>Boneless</t>
    </r>
  </si>
  <si>
    <r>
      <rPr>
        <b/>
        <sz val="8.5"/>
        <color rgb="FFFFFFFF"/>
        <rFont val="Calibri"/>
        <family val="2"/>
      </rPr>
      <t>Whole Leg</t>
    </r>
  </si>
  <si>
    <r>
      <rPr>
        <b/>
        <sz val="8.5"/>
        <color rgb="FFFFFFFF"/>
        <rFont val="Calibri"/>
        <family val="2"/>
      </rPr>
      <t>Wing</t>
    </r>
  </si>
  <si>
    <r>
      <rPr>
        <b/>
        <sz val="8.5"/>
        <color rgb="FFFFFFFF"/>
        <rFont val="Calibri"/>
        <family val="2"/>
      </rPr>
      <t>Thigh</t>
    </r>
  </si>
  <si>
    <r>
      <rPr>
        <b/>
        <sz val="8.5"/>
        <color rgb="FFFFFFFF"/>
        <rFont val="Calibri"/>
        <family val="2"/>
      </rPr>
      <t>Drumstick</t>
    </r>
  </si>
  <si>
    <t>LiveWeight_F</t>
  </si>
  <si>
    <t>Carcass_F</t>
  </si>
  <si>
    <t>Boneless_F</t>
  </si>
  <si>
    <t>WholeLeg_F</t>
  </si>
  <si>
    <t>Wing_F</t>
  </si>
  <si>
    <t>Thigh_F</t>
  </si>
  <si>
    <t>Drumstick_F</t>
  </si>
  <si>
    <t>Age(days)H</t>
  </si>
  <si>
    <r>
      <rPr>
        <sz val="8"/>
        <color rgb="FFFFFFFF"/>
        <rFont val="Arial Narrow"/>
        <family val="2"/>
      </rPr>
      <t>Weight (g)</t>
    </r>
    <r>
      <rPr>
        <sz val="8"/>
        <rFont val="Arial Narrow"/>
        <family val="2"/>
      </rPr>
      <t>H</t>
    </r>
  </si>
  <si>
    <r>
      <rPr>
        <sz val="8"/>
        <color rgb="FFFFFFFF"/>
        <rFont val="Arial Narrow"/>
        <family val="2"/>
      </rPr>
      <t xml:space="preserve">Daily Gain
</t>
    </r>
    <r>
      <rPr>
        <sz val="8"/>
        <color rgb="FFFFFFFF"/>
        <rFont val="Arial Narrow"/>
        <family val="2"/>
      </rPr>
      <t>(g)</t>
    </r>
  </si>
  <si>
    <r>
      <rPr>
        <sz val="8"/>
        <color rgb="FFFFFFFF"/>
        <rFont val="Arial Narrow"/>
        <family val="2"/>
      </rPr>
      <t>Average Daily Gain (g) *</t>
    </r>
  </si>
  <si>
    <r>
      <rPr>
        <sz val="8"/>
        <color rgb="FFFFFFFF"/>
        <rFont val="Arial Narrow"/>
        <family val="2"/>
      </rPr>
      <t>Cum. Feed Conversion **</t>
    </r>
  </si>
  <si>
    <r>
      <rPr>
        <sz val="8"/>
        <color rgb="FFFFFFFF"/>
        <rFont val="Arial Narrow"/>
        <family val="2"/>
      </rPr>
      <t>Daily Feed Intake (g)</t>
    </r>
  </si>
  <si>
    <r>
      <rPr>
        <sz val="8"/>
        <color rgb="FFFFFFFF"/>
        <rFont val="Arial Narrow"/>
        <family val="2"/>
      </rPr>
      <t>Cum. Feed Intake (g)</t>
    </r>
  </si>
  <si>
    <t>Age(days)M</t>
  </si>
  <si>
    <t>Weight (g)M</t>
  </si>
  <si>
    <t>Age(days)F</t>
  </si>
  <si>
    <r>
      <rPr>
        <sz val="8"/>
        <color rgb="FFFFFFFF"/>
        <rFont val="Arial Narrow"/>
        <family val="2"/>
      </rPr>
      <t>Weight (g)</t>
    </r>
    <r>
      <rPr>
        <sz val="8"/>
        <rFont val="Arial Narrow"/>
        <family val="2"/>
      </rPr>
      <t>F</t>
    </r>
  </si>
  <si>
    <t>Daily Gain(g)</t>
  </si>
  <si>
    <t>LiveWeight_H</t>
  </si>
  <si>
    <t>Carcass_H</t>
  </si>
  <si>
    <t>Boneless_H</t>
  </si>
  <si>
    <t>WholeLeg_H</t>
  </si>
  <si>
    <t>Wing_H</t>
  </si>
  <si>
    <t>Thigh_H</t>
  </si>
  <si>
    <t>Drumstick_H</t>
  </si>
  <si>
    <r>
      <rPr>
        <b/>
        <sz val="8.5"/>
        <color rgb="FFFFFFFF"/>
        <rFont val="Calibri"/>
        <family val="2"/>
      </rPr>
      <t>g</t>
    </r>
  </si>
  <si>
    <r>
      <rPr>
        <b/>
        <sz val="8.5"/>
        <color rgb="FFFFFFFF"/>
        <rFont val="Calibri"/>
        <family val="2"/>
      </rPr>
      <t>lb</t>
    </r>
  </si>
  <si>
    <r>
      <rPr>
        <b/>
        <sz val="8.5"/>
        <color rgb="FFFFFFFF"/>
        <rFont val="Calibri"/>
        <family val="2"/>
      </rPr>
      <t>%</t>
    </r>
  </si>
  <si>
    <r>
      <rPr>
        <b/>
        <sz val="8.5"/>
        <color rgb="FFFFFFFF"/>
        <rFont val="Calibri"/>
        <family val="2"/>
      </rPr>
      <t>Breast %</t>
    </r>
  </si>
  <si>
    <t>Male Cobb 500 Broiler Yield (% of Live Weight)</t>
  </si>
  <si>
    <r>
      <rPr>
        <sz val="8.5"/>
        <color rgb="FF4D4D4D"/>
        <rFont val="Arial"/>
        <family val="2"/>
      </rPr>
      <t xml:space="preserve">All yield values are dry yield (before chiller) based on percentage of live weight. Carcass refers to the eviscerated bird with feet removed at the hock joint.
</t>
    </r>
    <r>
      <rPr>
        <sz val="8.5"/>
        <color rgb="FF4D4D4D"/>
        <rFont val="Arial"/>
        <family val="2"/>
      </rPr>
      <t xml:space="preserve">Boneless breast meat is calculated without skin and bone.
</t>
    </r>
    <r>
      <rPr>
        <sz val="8.5"/>
        <color rgb="FF4D4D4D"/>
        <rFont val="Arial"/>
        <family val="2"/>
      </rPr>
      <t>Thigh, drumstick and wing are calculated with skin and bone.</t>
    </r>
  </si>
  <si>
    <r>
      <rPr>
        <sz val="8"/>
        <color rgb="FF323031"/>
        <rFont val="Arial"/>
        <family val="2"/>
      </rPr>
      <t xml:space="preserve">www.cobb-vantress.com
</t>
    </r>
    <r>
      <rPr>
        <sz val="8"/>
        <color rgb="FF323031"/>
        <rFont val="Arial"/>
        <family val="2"/>
      </rPr>
      <t>L-054-01-22 EN</t>
    </r>
  </si>
  <si>
    <r>
      <rPr>
        <b/>
        <sz val="8"/>
        <color rgb="FF4D4D4D"/>
        <rFont val="Calibri"/>
        <family val="2"/>
      </rPr>
      <t xml:space="preserve">* Average Daily Gain calculation formula = (weight - weight at day 0) / age in days
</t>
    </r>
    <r>
      <rPr>
        <b/>
        <sz val="8"/>
        <color rgb="FF4D4D4D"/>
        <rFont val="Calibri"/>
        <family val="2"/>
      </rPr>
      <t>** Feed conversion does not account for broiler mortality.</t>
    </r>
  </si>
  <si>
    <r>
      <rPr>
        <b/>
        <sz val="7"/>
        <color rgb="FFD91E39"/>
        <rFont val="Calibri"/>
        <family val="2"/>
      </rPr>
      <t>METRIC (MALE)</t>
    </r>
  </si>
  <si>
    <t>LiveWeight_M</t>
  </si>
  <si>
    <t>Carcass_M</t>
  </si>
  <si>
    <t>Boneless_M</t>
  </si>
  <si>
    <t>WholeLeg_M</t>
  </si>
  <si>
    <t>Wing_M</t>
  </si>
  <si>
    <t>Thigh_M</t>
  </si>
  <si>
    <t>Drumstick_M</t>
  </si>
  <si>
    <t>https://aviagen.com/assets/Tech_Center/Ross_Broiler/RossxRoss308AP-BroilerPerformanceObjectives2022-EN.pdf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</si>
</sst>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2"/>
      <color theme="1"/>
      <name val="Algerian"/>
      <family val="5"/>
    </font>
    <font>
      <sz val="16"/>
      <color theme="1"/>
      <name val="Algerian"/>
      <family val="5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2"/>
      <name val="Arial Black"/>
      <family val="2"/>
    </font>
    <font>
      <sz val="12"/>
      <color rgb="FFD91E39"/>
      <name val="Arial Black"/>
      <family val="2"/>
    </font>
    <font>
      <b/>
      <sz val="7"/>
      <name val="Calibri"/>
      <family val="2"/>
    </font>
    <font>
      <b/>
      <sz val="7"/>
      <color rgb="FFD91E39"/>
      <name val="Calibri"/>
      <family val="2"/>
    </font>
    <font>
      <sz val="8"/>
      <color rgb="FF414042"/>
      <name val="Arial"/>
      <family val="2"/>
    </font>
    <font>
      <u/>
      <sz val="8.5"/>
      <color rgb="FF231F20"/>
      <name val="Arial Black"/>
      <family val="2"/>
    </font>
    <font>
      <sz val="8.5"/>
      <color rgb="FF414042"/>
      <name val="Arial"/>
      <family val="2"/>
    </font>
    <font>
      <b/>
      <sz val="8.5"/>
      <name val="Calibri"/>
      <family val="2"/>
    </font>
    <font>
      <b/>
      <sz val="8.5"/>
      <color rgb="FFFFFFFF"/>
      <name val="Calibri"/>
      <family val="2"/>
    </font>
    <font>
      <sz val="8"/>
      <color rgb="FFFFFFFF"/>
      <name val="Arial Narrow"/>
      <family val="2"/>
    </font>
    <font>
      <sz val="8"/>
      <name val="Arial Narrow"/>
      <family val="2"/>
    </font>
    <font>
      <b/>
      <sz val="8"/>
      <color rgb="FF414042"/>
      <name val="Calibri"/>
      <family val="2"/>
    </font>
    <font>
      <sz val="8"/>
      <color rgb="FF414042"/>
      <name val="Arial Narrow"/>
      <family val="2"/>
    </font>
    <font>
      <sz val="8.5"/>
      <color rgb="FF414042"/>
      <name val="Arial Narrow"/>
      <family val="2"/>
    </font>
    <font>
      <sz val="8.5"/>
      <color rgb="FF4D4D4D"/>
      <name val="Arial"/>
      <family val="2"/>
    </font>
    <font>
      <sz val="8"/>
      <color rgb="FF323031"/>
      <name val="Arial"/>
      <family val="2"/>
    </font>
    <font>
      <b/>
      <sz val="8"/>
      <color rgb="FF4D4D4D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1E39"/>
      </patternFill>
    </fill>
    <fill>
      <patternFill patternType="solid">
        <fgColor rgb="FFF5F5F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0" tint="-4.9989318521683403E-2"/>
      </bottom>
      <diagonal/>
    </border>
    <border>
      <left/>
      <right style="thick">
        <color theme="0" tint="-4.9989318521683403E-2"/>
      </right>
      <top/>
      <bottom/>
      <diagonal/>
    </border>
    <border>
      <left/>
      <right style="thick">
        <color theme="0" tint="-0.249977111117893"/>
      </right>
      <top/>
      <bottom/>
      <diagonal/>
    </border>
    <border>
      <left/>
      <right/>
      <top/>
      <bottom style="thick">
        <color theme="0" tint="-0.249977111117893"/>
      </bottom>
      <diagonal/>
    </border>
    <border>
      <left/>
      <right style="thick">
        <color theme="0" tint="-0.249977111117893"/>
      </right>
      <top/>
      <bottom style="thick">
        <color theme="0" tint="-0.249977111117893"/>
      </bottom>
      <diagonal/>
    </border>
    <border>
      <left style="thick">
        <color theme="0" tint="-4.9989318521683403E-2"/>
      </left>
      <right style="thick">
        <color theme="0" tint="-0.249977111117893"/>
      </right>
      <top style="thick">
        <color theme="0" tint="-4.9989318521683403E-2"/>
      </top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/>
      <diagonal/>
    </border>
    <border>
      <left/>
      <right style="thick">
        <color theme="0" tint="-0.249977111117893"/>
      </right>
      <top style="thick">
        <color theme="0" tint="-4.9989318521683403E-2"/>
      </top>
      <bottom/>
      <diagonal/>
    </border>
    <border>
      <left style="thick">
        <color theme="0" tint="-4.9989318521683403E-2"/>
      </left>
      <right/>
      <top/>
      <bottom style="thick">
        <color theme="0" tint="-0.24997711111789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theme="0" tint="-0.249977111117893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231F2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0" fillId="0" borderId="2" xfId="0" applyBorder="1"/>
    <xf numFmtId="0" fontId="0" fillId="4" borderId="0" xfId="0" applyFill="1"/>
    <xf numFmtId="0" fontId="0" fillId="4" borderId="3" xfId="0" applyFill="1" applyBorder="1"/>
    <xf numFmtId="164" fontId="4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2" fontId="2" fillId="4" borderId="0" xfId="0" applyNumberFormat="1" applyFont="1" applyFill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5" borderId="3" xfId="0" applyFill="1" applyBorder="1"/>
    <xf numFmtId="0" fontId="3" fillId="5" borderId="0" xfId="0" applyFont="1" applyFill="1" applyAlignment="1">
      <alignment horizontal="left" vertical="center"/>
    </xf>
    <xf numFmtId="2" fontId="2" fillId="5" borderId="0" xfId="0" applyNumberFormat="1" applyFont="1" applyFill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2" fontId="2" fillId="5" borderId="4" xfId="0" applyNumberFormat="1" applyFont="1" applyFill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/>
    <xf numFmtId="16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4" borderId="9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0" fillId="6" borderId="0" xfId="0" applyFill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0" fontId="9" fillId="0" borderId="2" xfId="0" applyFont="1" applyBorder="1"/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 wrapText="1" indent="5"/>
    </xf>
    <xf numFmtId="0" fontId="18" fillId="7" borderId="16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top" wrapText="1"/>
    </xf>
    <xf numFmtId="0" fontId="20" fillId="7" borderId="15" xfId="0" applyFont="1" applyFill="1" applyBorder="1" applyAlignment="1">
      <alignment horizontal="center" vertical="top" wrapText="1"/>
    </xf>
    <xf numFmtId="0" fontId="21" fillId="7" borderId="16" xfId="0" applyFont="1" applyFill="1" applyBorder="1" applyAlignment="1">
      <alignment horizontal="left" vertical="top" wrapText="1" indent="2"/>
    </xf>
    <xf numFmtId="0" fontId="0" fillId="7" borderId="16" xfId="0" applyFill="1" applyBorder="1" applyAlignment="1">
      <alignment horizontal="center" vertical="top" wrapText="1"/>
    </xf>
    <xf numFmtId="0" fontId="21" fillId="7" borderId="16" xfId="0" applyFont="1" applyFill="1" applyBorder="1" applyAlignment="1">
      <alignment horizontal="left" vertical="top" wrapText="1" indent="1"/>
    </xf>
    <xf numFmtId="0" fontId="21" fillId="7" borderId="16" xfId="0" applyFont="1" applyFill="1" applyBorder="1" applyAlignment="1">
      <alignment horizontal="left" vertical="top" wrapText="1"/>
    </xf>
    <xf numFmtId="0" fontId="20" fillId="7" borderId="16" xfId="0" applyFont="1" applyFill="1" applyBorder="1" applyAlignment="1">
      <alignment horizontal="left" vertical="top" wrapText="1" indent="2"/>
    </xf>
    <xf numFmtId="0" fontId="20" fillId="7" borderId="16" xfId="0" applyFont="1" applyFill="1" applyBorder="1" applyAlignment="1">
      <alignment horizontal="center" vertical="top" wrapText="1"/>
    </xf>
    <xf numFmtId="0" fontId="18" fillId="7" borderId="15" xfId="0" applyFont="1" applyFill="1" applyBorder="1" applyAlignment="1">
      <alignment horizontal="center" vertical="top" wrapText="1"/>
    </xf>
    <xf numFmtId="0" fontId="18" fillId="7" borderId="0" xfId="0" applyFont="1" applyFill="1" applyAlignment="1">
      <alignment horizontal="center" vertical="top" wrapText="1"/>
    </xf>
    <xf numFmtId="1" fontId="22" fillId="8" borderId="0" xfId="0" applyNumberFormat="1" applyFont="1" applyFill="1" applyAlignment="1">
      <alignment horizontal="center" vertical="top" shrinkToFit="1"/>
    </xf>
    <xf numFmtId="1" fontId="23" fillId="8" borderId="0" xfId="0" applyNumberFormat="1" applyFont="1" applyFill="1" applyAlignment="1">
      <alignment horizontal="center" vertical="top" shrinkToFit="1"/>
    </xf>
    <xf numFmtId="0" fontId="0" fillId="8" borderId="0" xfId="0" applyFill="1" applyAlignment="1">
      <alignment horizontal="left" wrapText="1"/>
    </xf>
    <xf numFmtId="1" fontId="24" fillId="8" borderId="18" xfId="0" applyNumberFormat="1" applyFont="1" applyFill="1" applyBorder="1" applyAlignment="1">
      <alignment horizontal="center" vertical="top" shrinkToFit="1"/>
    </xf>
    <xf numFmtId="2" fontId="24" fillId="8" borderId="18" xfId="0" applyNumberFormat="1" applyFont="1" applyFill="1" applyBorder="1" applyAlignment="1">
      <alignment horizontal="center" vertical="top" shrinkToFit="1"/>
    </xf>
    <xf numFmtId="2" fontId="24" fillId="8" borderId="19" xfId="0" applyNumberFormat="1" applyFont="1" applyFill="1" applyBorder="1" applyAlignment="1">
      <alignment horizontal="center" vertical="top" shrinkToFit="1"/>
    </xf>
    <xf numFmtId="2" fontId="24" fillId="8" borderId="0" xfId="0" applyNumberFormat="1" applyFont="1" applyFill="1" applyAlignment="1">
      <alignment horizontal="center" vertical="top" shrinkToFit="1"/>
    </xf>
    <xf numFmtId="2" fontId="24" fillId="8" borderId="20" xfId="0" applyNumberFormat="1" applyFont="1" applyFill="1" applyBorder="1" applyAlignment="1">
      <alignment horizontal="center" vertical="top" shrinkToFit="1"/>
    </xf>
    <xf numFmtId="1" fontId="22" fillId="0" borderId="0" xfId="0" applyNumberFormat="1" applyFont="1" applyAlignment="1">
      <alignment horizontal="center" vertical="top" shrinkToFit="1"/>
    </xf>
    <xf numFmtId="1" fontId="23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left" wrapText="1"/>
    </xf>
    <xf numFmtId="165" fontId="24" fillId="8" borderId="0" xfId="0" applyNumberFormat="1" applyFont="1" applyFill="1" applyAlignment="1">
      <alignment horizontal="center" vertical="top" shrinkToFit="1"/>
    </xf>
    <xf numFmtId="1" fontId="24" fillId="0" borderId="18" xfId="0" applyNumberFormat="1" applyFont="1" applyBorder="1" applyAlignment="1">
      <alignment horizontal="center" vertical="top" shrinkToFit="1"/>
    </xf>
    <xf numFmtId="2" fontId="24" fillId="0" borderId="18" xfId="0" applyNumberFormat="1" applyFont="1" applyBorder="1" applyAlignment="1">
      <alignment horizontal="center" vertical="top" shrinkToFit="1"/>
    </xf>
    <xf numFmtId="2" fontId="24" fillId="0" borderId="19" xfId="0" applyNumberFormat="1" applyFont="1" applyBorder="1" applyAlignment="1">
      <alignment horizontal="center" vertical="top" shrinkToFit="1"/>
    </xf>
    <xf numFmtId="2" fontId="24" fillId="0" borderId="0" xfId="0" applyNumberFormat="1" applyFont="1" applyAlignment="1">
      <alignment horizontal="center" vertical="top" shrinkToFit="1"/>
    </xf>
    <xf numFmtId="2" fontId="24" fillId="0" borderId="20" xfId="0" applyNumberFormat="1" applyFont="1" applyBorder="1" applyAlignment="1">
      <alignment horizontal="center" vertical="top" shrinkToFit="1"/>
    </xf>
    <xf numFmtId="1" fontId="22" fillId="0" borderId="21" xfId="0" applyNumberFormat="1" applyFont="1" applyBorder="1" applyAlignment="1">
      <alignment horizontal="center" vertical="top" shrinkToFit="1"/>
    </xf>
    <xf numFmtId="1" fontId="23" fillId="0" borderId="21" xfId="0" applyNumberFormat="1" applyFont="1" applyBorder="1" applyAlignment="1">
      <alignment horizontal="center" vertical="top" shrinkToFit="1"/>
    </xf>
    <xf numFmtId="165" fontId="23" fillId="0" borderId="21" xfId="0" applyNumberFormat="1" applyFont="1" applyBorder="1" applyAlignment="1">
      <alignment horizontal="center" vertical="top" shrinkToFit="1"/>
    </xf>
    <xf numFmtId="164" fontId="23" fillId="0" borderId="21" xfId="0" applyNumberFormat="1" applyFont="1" applyBorder="1" applyAlignment="1">
      <alignment horizontal="center" vertical="top" shrinkToFit="1"/>
    </xf>
    <xf numFmtId="0" fontId="0" fillId="0" borderId="21" xfId="0" applyBorder="1" applyAlignment="1">
      <alignment horizontal="left" wrapText="1"/>
    </xf>
    <xf numFmtId="1" fontId="22" fillId="8" borderId="22" xfId="0" applyNumberFormat="1" applyFont="1" applyFill="1" applyBorder="1" applyAlignment="1">
      <alignment horizontal="center" vertical="top" shrinkToFit="1"/>
    </xf>
    <xf numFmtId="1" fontId="23" fillId="8" borderId="22" xfId="0" applyNumberFormat="1" applyFont="1" applyFill="1" applyBorder="1" applyAlignment="1">
      <alignment horizontal="center" vertical="top" shrinkToFit="1"/>
    </xf>
    <xf numFmtId="165" fontId="23" fillId="8" borderId="22" xfId="0" applyNumberFormat="1" applyFont="1" applyFill="1" applyBorder="1" applyAlignment="1">
      <alignment horizontal="center" vertical="top" shrinkToFit="1"/>
    </xf>
    <xf numFmtId="164" fontId="23" fillId="8" borderId="22" xfId="0" applyNumberFormat="1" applyFont="1" applyFill="1" applyBorder="1" applyAlignment="1">
      <alignment horizontal="center" vertical="top" shrinkToFit="1"/>
    </xf>
    <xf numFmtId="165" fontId="23" fillId="0" borderId="0" xfId="0" applyNumberFormat="1" applyFont="1" applyAlignment="1">
      <alignment horizontal="center" vertical="top" shrinkToFit="1"/>
    </xf>
    <xf numFmtId="164" fontId="23" fillId="0" borderId="0" xfId="0" applyNumberFormat="1" applyFont="1" applyAlignment="1">
      <alignment horizontal="center" vertical="top" shrinkToFit="1"/>
    </xf>
    <xf numFmtId="165" fontId="23" fillId="8" borderId="0" xfId="0" applyNumberFormat="1" applyFont="1" applyFill="1" applyAlignment="1">
      <alignment horizontal="center" vertical="top" shrinkToFit="1"/>
    </xf>
    <xf numFmtId="164" fontId="23" fillId="8" borderId="0" xfId="0" applyNumberFormat="1" applyFont="1" applyFill="1" applyAlignment="1">
      <alignment horizontal="center" vertical="top" shrinkToFit="1"/>
    </xf>
    <xf numFmtId="1" fontId="22" fillId="8" borderId="21" xfId="0" applyNumberFormat="1" applyFont="1" applyFill="1" applyBorder="1" applyAlignment="1">
      <alignment horizontal="center" vertical="top" shrinkToFit="1"/>
    </xf>
    <xf numFmtId="1" fontId="23" fillId="8" borderId="21" xfId="0" applyNumberFormat="1" applyFont="1" applyFill="1" applyBorder="1" applyAlignment="1">
      <alignment horizontal="center" vertical="top" shrinkToFit="1"/>
    </xf>
    <xf numFmtId="165" fontId="23" fillId="8" borderId="21" xfId="0" applyNumberFormat="1" applyFont="1" applyFill="1" applyBorder="1" applyAlignment="1">
      <alignment horizontal="center" vertical="top" shrinkToFit="1"/>
    </xf>
    <xf numFmtId="164" fontId="23" fillId="8" borderId="21" xfId="0" applyNumberFormat="1" applyFont="1" applyFill="1" applyBorder="1" applyAlignment="1">
      <alignment horizontal="center" vertical="top" shrinkToFit="1"/>
    </xf>
    <xf numFmtId="1" fontId="22" fillId="0" borderId="22" xfId="0" applyNumberFormat="1" applyFont="1" applyBorder="1" applyAlignment="1">
      <alignment horizontal="center" vertical="top" shrinkToFit="1"/>
    </xf>
    <xf numFmtId="1" fontId="23" fillId="0" borderId="22" xfId="0" applyNumberFormat="1" applyFont="1" applyBorder="1" applyAlignment="1">
      <alignment horizontal="center" vertical="top" shrinkToFit="1"/>
    </xf>
    <xf numFmtId="165" fontId="23" fillId="0" borderId="22" xfId="0" applyNumberFormat="1" applyFont="1" applyBorder="1" applyAlignment="1">
      <alignment horizontal="center" vertical="top" shrinkToFit="1"/>
    </xf>
    <xf numFmtId="164" fontId="23" fillId="0" borderId="22" xfId="0" applyNumberFormat="1" applyFont="1" applyBorder="1" applyAlignment="1">
      <alignment horizontal="center" vertical="top" shrinkToFit="1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2" fontId="4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0" fontId="8" fillId="0" borderId="0" xfId="0" applyFont="1"/>
    <xf numFmtId="0" fontId="6" fillId="6" borderId="0" xfId="0" applyFont="1" applyFill="1" applyAlignment="1">
      <alignment horizontal="center" wrapText="1"/>
    </xf>
    <xf numFmtId="0" fontId="5" fillId="0" borderId="0" xfId="1" applyAlignment="1">
      <alignment horizontal="left"/>
    </xf>
    <xf numFmtId="0" fontId="7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top" wrapText="1" indent="2"/>
    </xf>
    <xf numFmtId="0" fontId="18" fillId="7" borderId="0" xfId="0" applyFont="1" applyFill="1" applyAlignment="1">
      <alignment horizontal="left" vertical="top" wrapText="1" indent="2"/>
    </xf>
    <xf numFmtId="0" fontId="18" fillId="7" borderId="15" xfId="0" applyFont="1" applyFill="1" applyBorder="1" applyAlignment="1">
      <alignment horizontal="left" vertical="top" wrapText="1" indent="2"/>
    </xf>
    <xf numFmtId="0" fontId="0" fillId="0" borderId="0" xfId="0" applyAlignment="1">
      <alignment horizontal="left" vertical="top" wrapText="1" indent="6"/>
    </xf>
    <xf numFmtId="0" fontId="0" fillId="7" borderId="0" xfId="0" applyFill="1" applyAlignment="1">
      <alignment horizontal="center" vertical="top" wrapText="1"/>
    </xf>
    <xf numFmtId="0" fontId="0" fillId="0" borderId="0" xfId="0" applyAlignment="1">
      <alignment horizontal="left" vertical="top" wrapText="1" indent="4"/>
    </xf>
    <xf numFmtId="2" fontId="24" fillId="0" borderId="0" xfId="0" applyNumberFormat="1" applyFont="1" applyAlignment="1">
      <alignment horizontal="center" vertical="top" shrinkToFit="1"/>
    </xf>
    <xf numFmtId="2" fontId="24" fillId="8" borderId="0" xfId="0" applyNumberFormat="1" applyFont="1" applyFill="1" applyAlignment="1">
      <alignment horizontal="center" vertical="top" shrinkToFit="1"/>
    </xf>
    <xf numFmtId="1" fontId="24" fillId="0" borderId="0" xfId="0" applyNumberFormat="1" applyFont="1" applyAlignment="1">
      <alignment horizontal="center" vertical="top" shrinkToFit="1"/>
    </xf>
    <xf numFmtId="0" fontId="18" fillId="7" borderId="17" xfId="0" applyFont="1" applyFill="1" applyBorder="1" applyAlignment="1">
      <alignment horizontal="center" vertical="top" wrapText="1"/>
    </xf>
    <xf numFmtId="0" fontId="18" fillId="7" borderId="1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 indent="5"/>
    </xf>
    <xf numFmtId="0" fontId="13" fillId="0" borderId="0" xfId="0" applyFont="1" applyAlignment="1">
      <alignment horizontal="left" vertical="top" wrapText="1" indent="10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 indent="5"/>
    </xf>
    <xf numFmtId="0" fontId="0" fillId="0" borderId="0" xfId="0" applyAlignment="1">
      <alignment horizontal="center" vertical="top" wrapText="1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PorcaoPeitoP_M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3294400699912512"/>
                  <c:y val="-4.1666666666666669E-4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9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4">
                <c:v>4</c:v>
              </c:pt>
              <c:pt idx="15">
                <c:v>4.2</c:v>
              </c:pt>
              <c:pt idx="16">
                <c:v>4.4000000000000004</c:v>
              </c:pt>
              <c:pt idx="17">
                <c:v>4.5999999999999996</c:v>
              </c:pt>
              <c:pt idx="18">
                <c:v>4.8</c:v>
              </c:pt>
            </c:numLit>
          </c:xVal>
          <c:yVal>
            <c:numLit>
              <c:formatCode>General</c:formatCode>
              <c:ptCount val="19"/>
              <c:pt idx="0">
                <c:v>22.09</c:v>
              </c:pt>
              <c:pt idx="1">
                <c:v>23.15</c:v>
              </c:pt>
              <c:pt idx="2">
                <c:v>23.99</c:v>
              </c:pt>
              <c:pt idx="3">
                <c:v>24.68</c:v>
              </c:pt>
              <c:pt idx="4">
                <c:v>25.25</c:v>
              </c:pt>
              <c:pt idx="5">
                <c:v>25.74</c:v>
              </c:pt>
              <c:pt idx="6">
                <c:v>26.16</c:v>
              </c:pt>
              <c:pt idx="7">
                <c:v>26.52</c:v>
              </c:pt>
              <c:pt idx="8">
                <c:v>26.83</c:v>
              </c:pt>
              <c:pt idx="9">
                <c:v>27.11</c:v>
              </c:pt>
              <c:pt idx="10">
                <c:v>27.36</c:v>
              </c:pt>
              <c:pt idx="11">
                <c:v>27.58</c:v>
              </c:pt>
              <c:pt idx="14">
                <c:v>27.78</c:v>
              </c:pt>
              <c:pt idx="15">
                <c:v>27.96</c:v>
              </c:pt>
              <c:pt idx="16">
                <c:v>28.13</c:v>
              </c:pt>
              <c:pt idx="17">
                <c:v>28.28</c:v>
              </c:pt>
              <c:pt idx="18">
                <c:v>28.41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8DBA-4919-B800-CBCD2DB7D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702624"/>
        <c:axId val="741153920"/>
      </c:scatterChart>
      <c:valAx>
        <c:axId val="74170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1153920"/>
        <c:crosses val="autoZero"/>
        <c:crossBetween val="midCat"/>
      </c:valAx>
      <c:valAx>
        <c:axId val="741153920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17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SobrecoxaP_F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6912620297462819"/>
                  <c:y val="-4.55172790901136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3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2">
                <c:v>4</c:v>
              </c:pt>
            </c:numLit>
          </c:xVal>
          <c:yVal>
            <c:numLit>
              <c:formatCode>General</c:formatCode>
              <c:ptCount val="13"/>
              <c:pt idx="0">
                <c:v>9.5299999999999994</c:v>
              </c:pt>
              <c:pt idx="1">
                <c:v>9.4499999999999993</c:v>
              </c:pt>
              <c:pt idx="2">
                <c:v>9.3800000000000008</c:v>
              </c:pt>
              <c:pt idx="3">
                <c:v>9.33</c:v>
              </c:pt>
              <c:pt idx="4">
                <c:v>9.2899999999999991</c:v>
              </c:pt>
              <c:pt idx="5">
                <c:v>9.25</c:v>
              </c:pt>
              <c:pt idx="6">
                <c:v>9.2200000000000006</c:v>
              </c:pt>
              <c:pt idx="7">
                <c:v>9.19</c:v>
              </c:pt>
              <c:pt idx="8">
                <c:v>9.17</c:v>
              </c:pt>
              <c:pt idx="9">
                <c:v>9.14</c:v>
              </c:pt>
              <c:pt idx="10">
                <c:v>9.1300000000000008</c:v>
              </c:pt>
              <c:pt idx="11">
                <c:v>9.11</c:v>
              </c:pt>
              <c:pt idx="12">
                <c:v>9.08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C223-46AD-8B16-A67D94FA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04064"/>
        <c:axId val="761808384"/>
      </c:scatterChart>
      <c:valAx>
        <c:axId val="76180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1808384"/>
        <c:crosses val="autoZero"/>
        <c:crossBetween val="midCat"/>
      </c:valAx>
      <c:valAx>
        <c:axId val="76180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1804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AsaP_F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9812620297462818"/>
                  <c:y val="-6.280985710119568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3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2">
                <c:v>4</c:v>
              </c:pt>
            </c:numLit>
          </c:xVal>
          <c:yVal>
            <c:numLit>
              <c:formatCode>General</c:formatCode>
              <c:ptCount val="13"/>
              <c:pt idx="0">
                <c:v>8.0299999999999994</c:v>
              </c:pt>
              <c:pt idx="1">
                <c:v>7.98</c:v>
              </c:pt>
              <c:pt idx="2">
                <c:v>7.94</c:v>
              </c:pt>
              <c:pt idx="3">
                <c:v>7.91</c:v>
              </c:pt>
              <c:pt idx="4">
                <c:v>7.88</c:v>
              </c:pt>
              <c:pt idx="5">
                <c:v>7.86</c:v>
              </c:pt>
              <c:pt idx="6">
                <c:v>7.84</c:v>
              </c:pt>
              <c:pt idx="7">
                <c:v>7.82</c:v>
              </c:pt>
              <c:pt idx="8">
                <c:v>7.81</c:v>
              </c:pt>
              <c:pt idx="9">
                <c:v>7.79</c:v>
              </c:pt>
              <c:pt idx="10">
                <c:v>7.78</c:v>
              </c:pt>
              <c:pt idx="11">
                <c:v>7.77</c:v>
              </c:pt>
              <c:pt idx="12">
                <c:v>7.76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E889-4C67-8241-2DD5C2FA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664976"/>
        <c:axId val="730671816"/>
      </c:scatterChart>
      <c:valAx>
        <c:axId val="73066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71816"/>
        <c:crosses val="autoZero"/>
        <c:crossBetween val="midCat"/>
      </c:valAx>
      <c:valAx>
        <c:axId val="73067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64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CarneCoxaDes_F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3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2">
                <c:v>4</c:v>
              </c:pt>
            </c:numLit>
          </c:xVal>
          <c:yVal>
            <c:numLit>
              <c:formatCode>General</c:formatCode>
              <c:ptCount val="13"/>
              <c:pt idx="0">
                <c:v>16.25</c:v>
              </c:pt>
              <c:pt idx="1">
                <c:v>16.399999999999999</c:v>
              </c:pt>
              <c:pt idx="2">
                <c:v>16.52</c:v>
              </c:pt>
              <c:pt idx="3">
                <c:v>16.62</c:v>
              </c:pt>
              <c:pt idx="4">
                <c:v>16.71</c:v>
              </c:pt>
              <c:pt idx="5">
                <c:v>16.78</c:v>
              </c:pt>
              <c:pt idx="6">
                <c:v>16.84</c:v>
              </c:pt>
              <c:pt idx="7">
                <c:v>16.89</c:v>
              </c:pt>
              <c:pt idx="8">
                <c:v>16.93</c:v>
              </c:pt>
              <c:pt idx="9">
                <c:v>16.98</c:v>
              </c:pt>
              <c:pt idx="10">
                <c:v>17.010000000000002</c:v>
              </c:pt>
              <c:pt idx="11">
                <c:v>17.04</c:v>
              </c:pt>
              <c:pt idx="12">
                <c:v>17.07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248-488C-9F55-0FD4EF284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21344"/>
        <c:axId val="761819904"/>
      </c:scatterChart>
      <c:valAx>
        <c:axId val="76182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1819904"/>
        <c:crosses val="autoZero"/>
        <c:crossBetween val="midCat"/>
      </c:valAx>
      <c:valAx>
        <c:axId val="7618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1821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PeitoDes_F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5923425196850391"/>
                  <c:y val="2.27314814814814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3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2">
                <c:v>4</c:v>
              </c:pt>
            </c:numLit>
          </c:xVal>
          <c:yVal>
            <c:numLit>
              <c:formatCode>General</c:formatCode>
              <c:ptCount val="13"/>
              <c:pt idx="0">
                <c:v>23.51</c:v>
              </c:pt>
              <c:pt idx="1">
                <c:v>24.75</c:v>
              </c:pt>
              <c:pt idx="2">
                <c:v>25.74</c:v>
              </c:pt>
              <c:pt idx="3">
                <c:v>26.56</c:v>
              </c:pt>
              <c:pt idx="4">
                <c:v>27.23</c:v>
              </c:pt>
              <c:pt idx="5">
                <c:v>27.81</c:v>
              </c:pt>
              <c:pt idx="6">
                <c:v>28.3</c:v>
              </c:pt>
              <c:pt idx="7">
                <c:v>28.72</c:v>
              </c:pt>
              <c:pt idx="8">
                <c:v>29.09</c:v>
              </c:pt>
              <c:pt idx="9">
                <c:v>29.42</c:v>
              </c:pt>
              <c:pt idx="10">
                <c:v>29.71</c:v>
              </c:pt>
              <c:pt idx="11">
                <c:v>29.98</c:v>
              </c:pt>
              <c:pt idx="12">
                <c:v>30.21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CD0D-4BB7-9B38-E4333B887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674336"/>
        <c:axId val="730681536"/>
      </c:scatterChart>
      <c:valAx>
        <c:axId val="73067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81536"/>
        <c:crosses val="autoZero"/>
        <c:crossBetween val="midCat"/>
      </c:valAx>
      <c:valAx>
        <c:axId val="730681536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TotalCarne_F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9012314085739282"/>
                  <c:y val="7.82870370370370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3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2">
                <c:v>4</c:v>
              </c:pt>
            </c:numLit>
          </c:xVal>
          <c:yVal>
            <c:numLit>
              <c:formatCode>General</c:formatCode>
              <c:ptCount val="13"/>
              <c:pt idx="0">
                <c:v>39.76</c:v>
              </c:pt>
              <c:pt idx="1">
                <c:v>41.15</c:v>
              </c:pt>
              <c:pt idx="2">
                <c:v>42.27</c:v>
              </c:pt>
              <c:pt idx="3">
                <c:v>43.18</c:v>
              </c:pt>
              <c:pt idx="4">
                <c:v>43.94</c:v>
              </c:pt>
              <c:pt idx="5">
                <c:v>44.58</c:v>
              </c:pt>
              <c:pt idx="6">
                <c:v>45.13</c:v>
              </c:pt>
              <c:pt idx="7">
                <c:v>45.61</c:v>
              </c:pt>
              <c:pt idx="8">
                <c:v>46.03</c:v>
              </c:pt>
              <c:pt idx="9">
                <c:v>46.4</c:v>
              </c:pt>
              <c:pt idx="10">
                <c:v>46.73</c:v>
              </c:pt>
              <c:pt idx="11">
                <c:v>47.02</c:v>
              </c:pt>
              <c:pt idx="12">
                <c:v>47.28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8024-43D6-BE19-DBEF3BA08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24224"/>
        <c:axId val="761828544"/>
      </c:scatterChart>
      <c:valAx>
        <c:axId val="76182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1828544"/>
        <c:crosses val="autoZero"/>
        <c:crossBetween val="midCat"/>
      </c:valAx>
      <c:valAx>
        <c:axId val="76182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1824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Eviscerada_P_M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6572178477690289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9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4">
                <c:v>4</c:v>
              </c:pt>
              <c:pt idx="15">
                <c:v>4.2</c:v>
              </c:pt>
              <c:pt idx="16">
                <c:v>4.4000000000000004</c:v>
              </c:pt>
              <c:pt idx="17">
                <c:v>4.5999999999999996</c:v>
              </c:pt>
              <c:pt idx="18">
                <c:v>4.8</c:v>
              </c:pt>
            </c:numLit>
          </c:xVal>
          <c:yVal>
            <c:numLit>
              <c:formatCode>General</c:formatCode>
              <c:ptCount val="19"/>
              <c:pt idx="0">
                <c:v>70.069999999999993</c:v>
              </c:pt>
              <c:pt idx="1">
                <c:v>70.94</c:v>
              </c:pt>
              <c:pt idx="2">
                <c:v>71.64</c:v>
              </c:pt>
              <c:pt idx="3">
                <c:v>72.209999999999994</c:v>
              </c:pt>
              <c:pt idx="4">
                <c:v>72.680000000000007</c:v>
              </c:pt>
              <c:pt idx="5">
                <c:v>73.08</c:v>
              </c:pt>
              <c:pt idx="6">
                <c:v>73.430000000000007</c:v>
              </c:pt>
              <c:pt idx="7">
                <c:v>73.72</c:v>
              </c:pt>
              <c:pt idx="8">
                <c:v>73.98</c:v>
              </c:pt>
              <c:pt idx="9">
                <c:v>74.209999999999994</c:v>
              </c:pt>
              <c:pt idx="10">
                <c:v>74.42</c:v>
              </c:pt>
              <c:pt idx="11">
                <c:v>74.599999999999994</c:v>
              </c:pt>
              <c:pt idx="14">
                <c:v>74.77</c:v>
              </c:pt>
              <c:pt idx="15">
                <c:v>74.92</c:v>
              </c:pt>
              <c:pt idx="16">
                <c:v>75.05</c:v>
              </c:pt>
              <c:pt idx="17">
                <c:v>75.17</c:v>
              </c:pt>
              <c:pt idx="18">
                <c:v>75.290000000000006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81EE-419C-A840-A864C8DAF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592112"/>
        <c:axId val="895593552"/>
      </c:scatterChart>
      <c:valAx>
        <c:axId val="89559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5593552"/>
        <c:crosses val="autoZero"/>
        <c:crossBetween val="midCat"/>
      </c:valAx>
      <c:valAx>
        <c:axId val="89559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5592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Eviscerado_P_F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6478980752405951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3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2">
                <c:v>4</c:v>
              </c:pt>
            </c:numLit>
          </c:xVal>
          <c:yVal>
            <c:numLit>
              <c:formatCode>General</c:formatCode>
              <c:ptCount val="13"/>
              <c:pt idx="0">
                <c:v>70.36</c:v>
              </c:pt>
              <c:pt idx="1">
                <c:v>71.31</c:v>
              </c:pt>
              <c:pt idx="2">
                <c:v>72.069999999999993</c:v>
              </c:pt>
              <c:pt idx="3">
                <c:v>72.7</c:v>
              </c:pt>
              <c:pt idx="4">
                <c:v>73.22</c:v>
              </c:pt>
              <c:pt idx="5">
                <c:v>73.650000000000006</c:v>
              </c:pt>
              <c:pt idx="6">
                <c:v>74.03</c:v>
              </c:pt>
              <c:pt idx="7">
                <c:v>74.36</c:v>
              </c:pt>
              <c:pt idx="8">
                <c:v>74.64</c:v>
              </c:pt>
              <c:pt idx="9">
                <c:v>74.900000000000006</c:v>
              </c:pt>
              <c:pt idx="10">
                <c:v>75.12</c:v>
              </c:pt>
              <c:pt idx="11">
                <c:v>75.319999999999993</c:v>
              </c:pt>
              <c:pt idx="12">
                <c:v>75.5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2868-43BA-BEBC-BE744C235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929408"/>
        <c:axId val="1038929768"/>
      </c:scatterChart>
      <c:valAx>
        <c:axId val="103892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8929768"/>
        <c:crosses val="autoZero"/>
        <c:crossBetween val="midCat"/>
      </c:valAx>
      <c:valAx>
        <c:axId val="103892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892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Peso_Macho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3762839020122486"/>
                  <c:y val="-4.2745698454359875E-2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57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</c:numLit>
          </c:xVal>
          <c:yVal>
            <c:numLit>
              <c:formatCode>General</c:formatCode>
              <c:ptCount val="57"/>
              <c:pt idx="0">
                <c:v>4.3999999999999997E-2</c:v>
              </c:pt>
              <c:pt idx="1">
                <c:v>6.0999999999999999E-2</c:v>
              </c:pt>
              <c:pt idx="2">
                <c:v>7.9000000000000001E-2</c:v>
              </c:pt>
              <c:pt idx="3">
                <c:v>0.1</c:v>
              </c:pt>
              <c:pt idx="4">
                <c:v>0.124</c:v>
              </c:pt>
              <c:pt idx="5">
                <c:v>0.15</c:v>
              </c:pt>
              <c:pt idx="6">
                <c:v>0.18</c:v>
              </c:pt>
              <c:pt idx="7">
                <c:v>0.21299999999999999</c:v>
              </c:pt>
              <c:pt idx="8">
                <c:v>0.25</c:v>
              </c:pt>
              <c:pt idx="9">
                <c:v>0.28999999999999998</c:v>
              </c:pt>
              <c:pt idx="10">
                <c:v>0.33400000000000002</c:v>
              </c:pt>
              <c:pt idx="11">
                <c:v>0.38200000000000001</c:v>
              </c:pt>
              <c:pt idx="12">
                <c:v>0.434</c:v>
              </c:pt>
              <c:pt idx="13">
                <c:v>0.48899999999999999</c:v>
              </c:pt>
              <c:pt idx="14">
                <c:v>0.54900000000000004</c:v>
              </c:pt>
              <c:pt idx="15">
                <c:v>0.61199999999999999</c:v>
              </c:pt>
              <c:pt idx="16">
                <c:v>0.67900000000000005</c:v>
              </c:pt>
              <c:pt idx="17">
                <c:v>0.749</c:v>
              </c:pt>
              <c:pt idx="18">
                <c:v>0.82399999999999995</c:v>
              </c:pt>
              <c:pt idx="19">
                <c:v>0.90100000000000002</c:v>
              </c:pt>
              <c:pt idx="20">
                <c:v>0.98299999999999998</c:v>
              </c:pt>
              <c:pt idx="21">
                <c:v>1.0669999999999999</c:v>
              </c:pt>
              <c:pt idx="22">
                <c:v>1.155</c:v>
              </c:pt>
              <c:pt idx="23">
                <c:v>1.246</c:v>
              </c:pt>
              <c:pt idx="24">
                <c:v>1.339</c:v>
              </c:pt>
              <c:pt idx="25">
                <c:v>1.4359999999999999</c:v>
              </c:pt>
              <c:pt idx="26">
                <c:v>1.5349999999999999</c:v>
              </c:pt>
              <c:pt idx="27">
                <c:v>1.6359999999999999</c:v>
              </c:pt>
              <c:pt idx="28">
                <c:v>1.7390000000000001</c:v>
              </c:pt>
              <c:pt idx="29">
                <c:v>1.845</c:v>
              </c:pt>
              <c:pt idx="30">
                <c:v>1.952</c:v>
              </c:pt>
              <c:pt idx="31">
                <c:v>2.0609999999999999</c:v>
              </c:pt>
              <c:pt idx="32">
                <c:v>2.1709999999999998</c:v>
              </c:pt>
              <c:pt idx="33">
                <c:v>2.2829999999999999</c:v>
              </c:pt>
              <c:pt idx="34">
                <c:v>2.395</c:v>
              </c:pt>
              <c:pt idx="35">
                <c:v>2.5089999999999999</c:v>
              </c:pt>
              <c:pt idx="36">
                <c:v>2.6230000000000002</c:v>
              </c:pt>
              <c:pt idx="37">
                <c:v>2.738</c:v>
              </c:pt>
              <c:pt idx="38">
                <c:v>2.8530000000000002</c:v>
              </c:pt>
              <c:pt idx="39">
                <c:v>2.9689999999999999</c:v>
              </c:pt>
              <c:pt idx="40">
                <c:v>3.085</c:v>
              </c:pt>
              <c:pt idx="41">
                <c:v>3.2</c:v>
              </c:pt>
              <c:pt idx="42">
                <c:v>3.3159999999999998</c:v>
              </c:pt>
              <c:pt idx="43">
                <c:v>3.431</c:v>
              </c:pt>
              <c:pt idx="44">
                <c:v>3.5459999999999998</c:v>
              </c:pt>
              <c:pt idx="45">
                <c:v>3.66</c:v>
              </c:pt>
              <c:pt idx="46">
                <c:v>3.7730000000000001</c:v>
              </c:pt>
              <c:pt idx="47">
                <c:v>3.8860000000000001</c:v>
              </c:pt>
              <c:pt idx="48">
                <c:v>3.9980000000000002</c:v>
              </c:pt>
              <c:pt idx="49">
                <c:v>4.109</c:v>
              </c:pt>
              <c:pt idx="50">
                <c:v>4.2190000000000003</c:v>
              </c:pt>
              <c:pt idx="51">
                <c:v>4.3280000000000003</c:v>
              </c:pt>
              <c:pt idx="52">
                <c:v>4.4359999999999999</c:v>
              </c:pt>
              <c:pt idx="53">
                <c:v>4.5419999999999998</c:v>
              </c:pt>
              <c:pt idx="54">
                <c:v>4.6470000000000002</c:v>
              </c:pt>
              <c:pt idx="55">
                <c:v>4.7510000000000003</c:v>
              </c:pt>
              <c:pt idx="56">
                <c:v>4.8529999999999998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1E7E-49C8-8A6C-AF873577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611440"/>
        <c:axId val="864606760"/>
      </c:scatterChart>
      <c:valAx>
        <c:axId val="86461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4606760"/>
        <c:crosses val="autoZero"/>
        <c:crossBetween val="midCat"/>
      </c:valAx>
      <c:valAx>
        <c:axId val="864606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4611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Peso_Femea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3687489063867017"/>
                  <c:y val="1.8101851851851852E-2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57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</c:numLit>
          </c:xVal>
          <c:yVal>
            <c:numLit>
              <c:formatCode>General</c:formatCode>
              <c:ptCount val="57"/>
              <c:pt idx="0">
                <c:v>4.3999999999999997E-2</c:v>
              </c:pt>
              <c:pt idx="1">
                <c:v>6.2E-2</c:v>
              </c:pt>
              <c:pt idx="2">
                <c:v>8.1000000000000003E-2</c:v>
              </c:pt>
              <c:pt idx="3">
                <c:v>0.10199999999999999</c:v>
              </c:pt>
              <c:pt idx="4">
                <c:v>0.126</c:v>
              </c:pt>
              <c:pt idx="5">
                <c:v>0.152</c:v>
              </c:pt>
              <c:pt idx="6">
                <c:v>0.18099999999999999</c:v>
              </c:pt>
              <c:pt idx="7">
                <c:v>0.214</c:v>
              </c:pt>
              <c:pt idx="8">
                <c:v>0.25</c:v>
              </c:pt>
              <c:pt idx="9">
                <c:v>0.28899999999999998</c:v>
              </c:pt>
              <c:pt idx="10">
                <c:v>0.33100000000000002</c:v>
              </c:pt>
              <c:pt idx="11">
                <c:v>0.376</c:v>
              </c:pt>
              <c:pt idx="12">
                <c:v>0.42499999999999999</c:v>
              </c:pt>
              <c:pt idx="13">
                <c:v>0.47699999999999998</c:v>
              </c:pt>
              <c:pt idx="14">
                <c:v>0.53200000000000003</c:v>
              </c:pt>
              <c:pt idx="15">
                <c:v>0.59</c:v>
              </c:pt>
              <c:pt idx="16">
                <c:v>0.65100000000000002</c:v>
              </c:pt>
              <c:pt idx="17">
                <c:v>0.71499999999999997</c:v>
              </c:pt>
              <c:pt idx="18">
                <c:v>0.78200000000000003</c:v>
              </c:pt>
              <c:pt idx="19">
                <c:v>0.85099999999999998</c:v>
              </c:pt>
              <c:pt idx="20">
                <c:v>0.92400000000000004</c:v>
              </c:pt>
              <c:pt idx="21">
                <c:v>0.998</c:v>
              </c:pt>
              <c:pt idx="22">
                <c:v>1.075</c:v>
              </c:pt>
              <c:pt idx="23">
                <c:v>1.1539999999999999</c:v>
              </c:pt>
              <c:pt idx="24">
                <c:v>1.2350000000000001</c:v>
              </c:pt>
              <c:pt idx="25">
                <c:v>1.3180000000000001</c:v>
              </c:pt>
              <c:pt idx="26">
                <c:v>1.4019999999999999</c:v>
              </c:pt>
              <c:pt idx="27">
                <c:v>1.488</c:v>
              </c:pt>
              <c:pt idx="28">
                <c:v>1.575</c:v>
              </c:pt>
              <c:pt idx="29">
                <c:v>1.6639999999999999</c:v>
              </c:pt>
              <c:pt idx="30">
                <c:v>1.7529999999999999</c:v>
              </c:pt>
              <c:pt idx="31">
                <c:v>1.8440000000000001</c:v>
              </c:pt>
              <c:pt idx="32">
                <c:v>1.9350000000000001</c:v>
              </c:pt>
              <c:pt idx="33">
                <c:v>2.0259999999999998</c:v>
              </c:pt>
              <c:pt idx="34">
                <c:v>2.1179999999999999</c:v>
              </c:pt>
              <c:pt idx="35">
                <c:v>2.2109999999999999</c:v>
              </c:pt>
              <c:pt idx="36">
                <c:v>2.3029999999999999</c:v>
              </c:pt>
              <c:pt idx="37">
                <c:v>2.3959999999999999</c:v>
              </c:pt>
              <c:pt idx="38">
                <c:v>2.4889999999999999</c:v>
              </c:pt>
              <c:pt idx="39">
                <c:v>2.581</c:v>
              </c:pt>
              <c:pt idx="40">
                <c:v>2.673</c:v>
              </c:pt>
              <c:pt idx="41">
                <c:v>2.7650000000000001</c:v>
              </c:pt>
              <c:pt idx="42">
                <c:v>2.8559999999999999</c:v>
              </c:pt>
              <c:pt idx="43">
                <c:v>2.9460000000000002</c:v>
              </c:pt>
              <c:pt idx="44">
                <c:v>3.036</c:v>
              </c:pt>
              <c:pt idx="45">
                <c:v>3.125</c:v>
              </c:pt>
              <c:pt idx="46">
                <c:v>3.214</c:v>
              </c:pt>
              <c:pt idx="47">
                <c:v>3.3010000000000002</c:v>
              </c:pt>
              <c:pt idx="48">
                <c:v>3.387</c:v>
              </c:pt>
              <c:pt idx="49">
                <c:v>3.4729999999999999</c:v>
              </c:pt>
              <c:pt idx="50">
                <c:v>3.5569999999999999</c:v>
              </c:pt>
              <c:pt idx="51">
                <c:v>3.64</c:v>
              </c:pt>
              <c:pt idx="52">
                <c:v>3.722</c:v>
              </c:pt>
              <c:pt idx="53">
                <c:v>3.8029999999999999</c:v>
              </c:pt>
              <c:pt idx="54">
                <c:v>3.883</c:v>
              </c:pt>
              <c:pt idx="55">
                <c:v>3.9609999999999999</c:v>
              </c:pt>
              <c:pt idx="56">
                <c:v>4.0380000000000003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B344-49F1-B7D5-C86612E8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273048"/>
        <c:axId val="642271608"/>
      </c:scatterChart>
      <c:valAx>
        <c:axId val="642273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2271608"/>
        <c:crosses val="autoZero"/>
        <c:crossBetween val="midCat"/>
      </c:valAx>
      <c:valAx>
        <c:axId val="64227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2273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Peso_Misto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0631933508311461"/>
                  <c:y val="2.2731481481481481E-2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57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</c:numLit>
          </c:xVal>
          <c:yVal>
            <c:numLit>
              <c:formatCode>General</c:formatCode>
              <c:ptCount val="57"/>
              <c:pt idx="0">
                <c:v>4.3999999999999997E-2</c:v>
              </c:pt>
              <c:pt idx="1">
                <c:v>6.2E-2</c:v>
              </c:pt>
              <c:pt idx="2">
                <c:v>0.08</c:v>
              </c:pt>
              <c:pt idx="3">
                <c:v>0.10100000000000001</c:v>
              </c:pt>
              <c:pt idx="4">
                <c:v>0.125</c:v>
              </c:pt>
              <c:pt idx="5">
                <c:v>0.151</c:v>
              </c:pt>
              <c:pt idx="6">
                <c:v>0.18099999999999999</c:v>
              </c:pt>
              <c:pt idx="7">
                <c:v>0.214</c:v>
              </c:pt>
              <c:pt idx="8">
                <c:v>0.25</c:v>
              </c:pt>
              <c:pt idx="9">
                <c:v>0.28899999999999998</c:v>
              </c:pt>
              <c:pt idx="10">
                <c:v>0.33300000000000002</c:v>
              </c:pt>
              <c:pt idx="11">
                <c:v>0.379</c:v>
              </c:pt>
              <c:pt idx="12">
                <c:v>0.42899999999999999</c:v>
              </c:pt>
              <c:pt idx="13">
                <c:v>0.48299999999999998</c:v>
              </c:pt>
              <c:pt idx="14">
                <c:v>0.54</c:v>
              </c:pt>
              <c:pt idx="15">
                <c:v>0.60099999999999998</c:v>
              </c:pt>
              <c:pt idx="16">
                <c:v>0.66500000000000004</c:v>
              </c:pt>
              <c:pt idx="17">
                <c:v>0.73199999999999998</c:v>
              </c:pt>
              <c:pt idx="18">
                <c:v>0.80300000000000005</c:v>
              </c:pt>
              <c:pt idx="19">
                <c:v>0.876</c:v>
              </c:pt>
              <c:pt idx="20">
                <c:v>0.95299999999999996</c:v>
              </c:pt>
              <c:pt idx="21">
                <c:v>1.0329999999999999</c:v>
              </c:pt>
              <c:pt idx="22">
                <c:v>1.115</c:v>
              </c:pt>
              <c:pt idx="23">
                <c:v>1.2</c:v>
              </c:pt>
              <c:pt idx="24">
                <c:v>1.2869999999999999</c:v>
              </c:pt>
              <c:pt idx="25">
                <c:v>1.377</c:v>
              </c:pt>
              <c:pt idx="26">
                <c:v>1.468</c:v>
              </c:pt>
              <c:pt idx="27">
                <c:v>1.5620000000000001</c:v>
              </c:pt>
              <c:pt idx="28">
                <c:v>1.657</c:v>
              </c:pt>
              <c:pt idx="29">
                <c:v>1.754</c:v>
              </c:pt>
              <c:pt idx="30">
                <c:v>1.853</c:v>
              </c:pt>
              <c:pt idx="31">
                <c:v>1.952</c:v>
              </c:pt>
              <c:pt idx="32">
                <c:v>2.0529999999999999</c:v>
              </c:pt>
              <c:pt idx="33">
                <c:v>2.1539999999999999</c:v>
              </c:pt>
              <c:pt idx="34">
                <c:v>2.2570000000000001</c:v>
              </c:pt>
              <c:pt idx="35">
                <c:v>2.36</c:v>
              </c:pt>
              <c:pt idx="36">
                <c:v>2.4630000000000001</c:v>
              </c:pt>
              <c:pt idx="37">
                <c:v>2.5670000000000002</c:v>
              </c:pt>
              <c:pt idx="38">
                <c:v>2.6709999999999998</c:v>
              </c:pt>
              <c:pt idx="39">
                <c:v>2.7749999999999999</c:v>
              </c:pt>
              <c:pt idx="40">
                <c:v>2.879</c:v>
              </c:pt>
              <c:pt idx="41">
                <c:v>2.9820000000000002</c:v>
              </c:pt>
              <c:pt idx="42">
                <c:v>3.0859999999999999</c:v>
              </c:pt>
              <c:pt idx="43">
                <c:v>3.1890000000000001</c:v>
              </c:pt>
              <c:pt idx="44">
                <c:v>3.2909999999999999</c:v>
              </c:pt>
              <c:pt idx="45">
                <c:v>3.3929999999999998</c:v>
              </c:pt>
              <c:pt idx="46">
                <c:v>3.4929999999999999</c:v>
              </c:pt>
              <c:pt idx="47">
                <c:v>3.5939999999999999</c:v>
              </c:pt>
              <c:pt idx="48">
                <c:v>3.6930000000000001</c:v>
              </c:pt>
              <c:pt idx="49">
                <c:v>3.7909999999999999</c:v>
              </c:pt>
              <c:pt idx="50">
                <c:v>3.8879999999999999</c:v>
              </c:pt>
              <c:pt idx="51">
                <c:v>3.984</c:v>
              </c:pt>
              <c:pt idx="52">
                <c:v>4.0789999999999997</c:v>
              </c:pt>
              <c:pt idx="53">
                <c:v>4.173</c:v>
              </c:pt>
              <c:pt idx="54">
                <c:v>4.2649999999999997</c:v>
              </c:pt>
              <c:pt idx="55">
                <c:v>4.3559999999999999</c:v>
              </c:pt>
              <c:pt idx="56">
                <c:v>4.4459999999999997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48D0-476E-ADC0-402619F05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516368"/>
        <c:axId val="968517808"/>
      </c:scatterChart>
      <c:valAx>
        <c:axId val="96851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8517808"/>
        <c:crosses val="autoZero"/>
        <c:crossBetween val="midCat"/>
      </c:valAx>
      <c:valAx>
        <c:axId val="96851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851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CoxaP_M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4728018372703411"/>
                  <c:y val="-1.39508603091280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9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4">
                <c:v>4</c:v>
              </c:pt>
              <c:pt idx="15">
                <c:v>4.2</c:v>
              </c:pt>
              <c:pt idx="16">
                <c:v>4.4000000000000004</c:v>
              </c:pt>
              <c:pt idx="17">
                <c:v>4.5999999999999996</c:v>
              </c:pt>
              <c:pt idx="18">
                <c:v>4.8</c:v>
              </c:pt>
            </c:numLit>
          </c:xVal>
          <c:yVal>
            <c:numLit>
              <c:formatCode>General</c:formatCode>
              <c:ptCount val="19"/>
              <c:pt idx="0">
                <c:v>12.95</c:v>
              </c:pt>
              <c:pt idx="1">
                <c:v>13.21</c:v>
              </c:pt>
              <c:pt idx="2">
                <c:v>13.42</c:v>
              </c:pt>
              <c:pt idx="3">
                <c:v>13.59</c:v>
              </c:pt>
              <c:pt idx="4">
                <c:v>13.73</c:v>
              </c:pt>
              <c:pt idx="5">
                <c:v>13.85</c:v>
              </c:pt>
              <c:pt idx="6">
                <c:v>13.95</c:v>
              </c:pt>
              <c:pt idx="7">
                <c:v>14.04</c:v>
              </c:pt>
              <c:pt idx="8">
                <c:v>14.12</c:v>
              </c:pt>
              <c:pt idx="9">
                <c:v>14.19</c:v>
              </c:pt>
              <c:pt idx="10">
                <c:v>14.25</c:v>
              </c:pt>
              <c:pt idx="11">
                <c:v>14.31</c:v>
              </c:pt>
              <c:pt idx="14">
                <c:v>14.36</c:v>
              </c:pt>
              <c:pt idx="15">
                <c:v>14.4</c:v>
              </c:pt>
              <c:pt idx="16">
                <c:v>14.44</c:v>
              </c:pt>
              <c:pt idx="17">
                <c:v>14.48</c:v>
              </c:pt>
              <c:pt idx="18">
                <c:v>14.51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3B3-44DF-AA50-33F565A50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742592"/>
        <c:axId val="748738992"/>
      </c:scatterChart>
      <c:valAx>
        <c:axId val="74874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8738992"/>
        <c:crosses val="autoZero"/>
        <c:crossBetween val="midCat"/>
      </c:valAx>
      <c:valAx>
        <c:axId val="7487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874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Carcass_H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1.211546807071414E-2"/>
                  <c:y val="-3.7453703703703704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73.400000000000006</c:v>
              </c:pt>
              <c:pt idx="1">
                <c:v>73.680000000000007</c:v>
              </c:pt>
              <c:pt idx="2">
                <c:v>73.900000000000006</c:v>
              </c:pt>
              <c:pt idx="3">
                <c:v>74.38</c:v>
              </c:pt>
              <c:pt idx="4">
                <c:v>74.8</c:v>
              </c:pt>
              <c:pt idx="5">
                <c:v>75.2</c:v>
              </c:pt>
              <c:pt idx="6">
                <c:v>75.55</c:v>
              </c:pt>
              <c:pt idx="7">
                <c:v>75.849999999999994</c:v>
              </c:pt>
              <c:pt idx="8">
                <c:v>76.150000000000006</c:v>
              </c:pt>
              <c:pt idx="9">
                <c:v>76.45</c:v>
              </c:pt>
              <c:pt idx="10">
                <c:v>76.75</c:v>
              </c:pt>
              <c:pt idx="11">
                <c:v>77</c:v>
              </c:pt>
              <c:pt idx="12">
                <c:v>77.25</c:v>
              </c:pt>
              <c:pt idx="13">
                <c:v>77.5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143-4FF2-9E57-A84540BB2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084480"/>
        <c:axId val="774083400"/>
      </c:scatterChart>
      <c:valAx>
        <c:axId val="77408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4083400"/>
        <c:crosses val="autoZero"/>
        <c:crossBetween val="midCat"/>
      </c:valAx>
      <c:valAx>
        <c:axId val="77408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4084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Boneless_H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3.6108378827642784E-2"/>
                  <c:y val="-4.7442403032954217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23.13</c:v>
              </c:pt>
              <c:pt idx="1">
                <c:v>23.45</c:v>
              </c:pt>
              <c:pt idx="2">
                <c:v>23.78</c:v>
              </c:pt>
              <c:pt idx="3">
                <c:v>24.4</c:v>
              </c:pt>
              <c:pt idx="4">
                <c:v>24.98</c:v>
              </c:pt>
              <c:pt idx="5">
                <c:v>25.55</c:v>
              </c:pt>
              <c:pt idx="6">
                <c:v>26.05</c:v>
              </c:pt>
              <c:pt idx="7">
                <c:v>26.5</c:v>
              </c:pt>
              <c:pt idx="8">
                <c:v>26.93</c:v>
              </c:pt>
              <c:pt idx="9">
                <c:v>27.3</c:v>
              </c:pt>
              <c:pt idx="10">
                <c:v>27.7</c:v>
              </c:pt>
              <c:pt idx="11">
                <c:v>28.05</c:v>
              </c:pt>
              <c:pt idx="12">
                <c:v>28.38</c:v>
              </c:pt>
              <c:pt idx="13">
                <c:v>28.68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A8B-45C9-BCE9-89930D0B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0225480"/>
        <c:axId val="830222240"/>
      </c:scatterChart>
      <c:valAx>
        <c:axId val="830225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0222240"/>
        <c:crosses val="autoZero"/>
        <c:crossBetween val="midCat"/>
      </c:valAx>
      <c:valAx>
        <c:axId val="830222240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0225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WholeLeg_H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22.17</c:v>
              </c:pt>
              <c:pt idx="1">
                <c:v>22.27</c:v>
              </c:pt>
              <c:pt idx="2">
                <c:v>22.38</c:v>
              </c:pt>
              <c:pt idx="3">
                <c:v>22.58</c:v>
              </c:pt>
              <c:pt idx="4">
                <c:v>22.74</c:v>
              </c:pt>
              <c:pt idx="5">
                <c:v>22.88</c:v>
              </c:pt>
              <c:pt idx="6">
                <c:v>23.01</c:v>
              </c:pt>
              <c:pt idx="7">
                <c:v>23.12</c:v>
              </c:pt>
              <c:pt idx="8">
                <c:v>23.22</c:v>
              </c:pt>
              <c:pt idx="9">
                <c:v>23.33</c:v>
              </c:pt>
              <c:pt idx="10">
                <c:v>23.44</c:v>
              </c:pt>
              <c:pt idx="11">
                <c:v>23.55</c:v>
              </c:pt>
              <c:pt idx="12">
                <c:v>23.62</c:v>
              </c:pt>
              <c:pt idx="13">
                <c:v>23.68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C0F-4378-82AA-05F1AC0BA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279920"/>
        <c:axId val="653279200"/>
      </c:scatterChart>
      <c:valAx>
        <c:axId val="65327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3279200"/>
        <c:crosses val="autoZero"/>
        <c:crossBetween val="midCat"/>
      </c:valAx>
      <c:valAx>
        <c:axId val="65327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327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Wing_H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41217502200939615"/>
                  <c:y val="-4.1666666666666669E-4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7.56</c:v>
              </c:pt>
              <c:pt idx="1">
                <c:v>7.56</c:v>
              </c:pt>
              <c:pt idx="2">
                <c:v>7.56</c:v>
              </c:pt>
              <c:pt idx="3">
                <c:v>7.57</c:v>
              </c:pt>
              <c:pt idx="4">
                <c:v>7.57</c:v>
              </c:pt>
              <c:pt idx="5">
                <c:v>7.58</c:v>
              </c:pt>
              <c:pt idx="6">
                <c:v>7.58</c:v>
              </c:pt>
              <c:pt idx="7">
                <c:v>7.58</c:v>
              </c:pt>
              <c:pt idx="8">
                <c:v>7.58</c:v>
              </c:pt>
              <c:pt idx="9">
                <c:v>7.59</c:v>
              </c:pt>
              <c:pt idx="10">
                <c:v>7.59</c:v>
              </c:pt>
              <c:pt idx="11">
                <c:v>7.59</c:v>
              </c:pt>
              <c:pt idx="12">
                <c:v>7.59</c:v>
              </c:pt>
              <c:pt idx="13">
                <c:v>7.59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EDAD-4618-ACE6-EA5678110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584608"/>
        <c:axId val="428585328"/>
      </c:scatterChart>
      <c:valAx>
        <c:axId val="42858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8585328"/>
        <c:crosses val="autoZero"/>
        <c:crossBetween val="midCat"/>
      </c:valAx>
      <c:valAx>
        <c:axId val="4285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8584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Thigh_H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7.4491745096349274E-3"/>
                  <c:y val="-2.8194444444444466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12.9</c:v>
              </c:pt>
              <c:pt idx="1">
                <c:v>13</c:v>
              </c:pt>
              <c:pt idx="2">
                <c:v>13.1</c:v>
              </c:pt>
              <c:pt idx="3">
                <c:v>13.28</c:v>
              </c:pt>
              <c:pt idx="4">
                <c:v>13.42</c:v>
              </c:pt>
              <c:pt idx="5">
                <c:v>13.55</c:v>
              </c:pt>
              <c:pt idx="6">
                <c:v>13.66</c:v>
              </c:pt>
              <c:pt idx="7">
                <c:v>13.76</c:v>
              </c:pt>
              <c:pt idx="8">
                <c:v>13.85</c:v>
              </c:pt>
              <c:pt idx="9">
                <c:v>13.95</c:v>
              </c:pt>
              <c:pt idx="10">
                <c:v>14.05</c:v>
              </c:pt>
              <c:pt idx="11">
                <c:v>14.15</c:v>
              </c:pt>
              <c:pt idx="12">
                <c:v>14.22</c:v>
              </c:pt>
              <c:pt idx="13">
                <c:v>14.26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89B-4F8B-A756-A1F02F0BA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807184"/>
        <c:axId val="669811504"/>
      </c:scatterChart>
      <c:valAx>
        <c:axId val="66980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9811504"/>
        <c:crosses val="autoZero"/>
        <c:crossBetween val="midCat"/>
      </c:valAx>
      <c:valAx>
        <c:axId val="66981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980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Drumstick_H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9.9269094712992473E-3"/>
                  <c:y val="-6.5231481481481488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9.27</c:v>
              </c:pt>
              <c:pt idx="1">
                <c:v>9.27</c:v>
              </c:pt>
              <c:pt idx="2">
                <c:v>9.2799999999999994</c:v>
              </c:pt>
              <c:pt idx="3">
                <c:v>9.3000000000000007</c:v>
              </c:pt>
              <c:pt idx="4">
                <c:v>9.32</c:v>
              </c:pt>
              <c:pt idx="5">
                <c:v>9.33</c:v>
              </c:pt>
              <c:pt idx="6">
                <c:v>9.35</c:v>
              </c:pt>
              <c:pt idx="7">
                <c:v>9.36</c:v>
              </c:pt>
              <c:pt idx="8">
                <c:v>9.3699999999999992</c:v>
              </c:pt>
              <c:pt idx="9">
                <c:v>9.3800000000000008</c:v>
              </c:pt>
              <c:pt idx="10">
                <c:v>9.39</c:v>
              </c:pt>
              <c:pt idx="11">
                <c:v>9.4</c:v>
              </c:pt>
              <c:pt idx="12">
                <c:v>9.4</c:v>
              </c:pt>
              <c:pt idx="13">
                <c:v>9.42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9DE-440B-9E7D-22BD15C3E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083440"/>
        <c:axId val="978079120"/>
      </c:scatterChart>
      <c:valAx>
        <c:axId val="97808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8079120"/>
        <c:crosses val="autoZero"/>
        <c:crossBetween val="midCat"/>
      </c:valAx>
      <c:valAx>
        <c:axId val="97807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808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Carcass_F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7.7505290823156159E-2"/>
                  <c:y val="-6.566746864975212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73.900000000000006</c:v>
              </c:pt>
              <c:pt idx="1">
                <c:v>74.150000000000006</c:v>
              </c:pt>
              <c:pt idx="2">
                <c:v>74.349999999999994</c:v>
              </c:pt>
              <c:pt idx="3">
                <c:v>74.75</c:v>
              </c:pt>
              <c:pt idx="4">
                <c:v>75.150000000000006</c:v>
              </c:pt>
              <c:pt idx="5">
                <c:v>75.5</c:v>
              </c:pt>
              <c:pt idx="6">
                <c:v>75.8</c:v>
              </c:pt>
              <c:pt idx="7">
                <c:v>76.05</c:v>
              </c:pt>
              <c:pt idx="8">
                <c:v>76.3</c:v>
              </c:pt>
              <c:pt idx="9">
                <c:v>76.55</c:v>
              </c:pt>
              <c:pt idx="10">
                <c:v>76.8</c:v>
              </c:pt>
              <c:pt idx="11">
                <c:v>77</c:v>
              </c:pt>
              <c:pt idx="12">
                <c:v>77.2</c:v>
              </c:pt>
              <c:pt idx="13">
                <c:v>77.400000000000006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C28-4688-9A27-CAE339EEF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568736"/>
        <c:axId val="909565136"/>
      </c:scatterChart>
      <c:valAx>
        <c:axId val="90956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9565136"/>
        <c:crosses val="autoZero"/>
        <c:crossBetween val="midCat"/>
      </c:valAx>
      <c:valAx>
        <c:axId val="90956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9568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Boneless_F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8.0072785799279636E-2"/>
                  <c:y val="-7.4032881306503359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23.4</c:v>
              </c:pt>
              <c:pt idx="1">
                <c:v>23.75</c:v>
              </c:pt>
              <c:pt idx="2">
                <c:v>24.1</c:v>
              </c:pt>
              <c:pt idx="3">
                <c:v>24.8</c:v>
              </c:pt>
              <c:pt idx="4">
                <c:v>25.45</c:v>
              </c:pt>
              <c:pt idx="5">
                <c:v>26.1</c:v>
              </c:pt>
              <c:pt idx="6">
                <c:v>26.7</c:v>
              </c:pt>
              <c:pt idx="7">
                <c:v>27.2</c:v>
              </c:pt>
              <c:pt idx="8">
                <c:v>27.7</c:v>
              </c:pt>
              <c:pt idx="9">
                <c:v>28.15</c:v>
              </c:pt>
              <c:pt idx="10">
                <c:v>28.6</c:v>
              </c:pt>
              <c:pt idx="11">
                <c:v>29</c:v>
              </c:pt>
              <c:pt idx="12">
                <c:v>29.4</c:v>
              </c:pt>
              <c:pt idx="13">
                <c:v>29.75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BF9-4745-A26C-21F4CCBD9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248456"/>
        <c:axId val="930251336"/>
      </c:scatterChart>
      <c:valAx>
        <c:axId val="930248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251336"/>
        <c:crosses val="autoZero"/>
        <c:crossBetween val="midCat"/>
      </c:valAx>
      <c:valAx>
        <c:axId val="930251336"/>
        <c:scaling>
          <c:orientation val="minMax"/>
          <c:min val="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248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WholeLeg_F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7.8072575605432265E-2"/>
                  <c:y val="-3.7453703703703704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22.3</c:v>
              </c:pt>
              <c:pt idx="1">
                <c:v>22.34</c:v>
              </c:pt>
              <c:pt idx="2">
                <c:v>22.38</c:v>
              </c:pt>
              <c:pt idx="3">
                <c:v>22.48</c:v>
              </c:pt>
              <c:pt idx="4">
                <c:v>22.54</c:v>
              </c:pt>
              <c:pt idx="5">
                <c:v>22.59</c:v>
              </c:pt>
              <c:pt idx="6">
                <c:v>22.65</c:v>
              </c:pt>
              <c:pt idx="7">
                <c:v>22.69</c:v>
              </c:pt>
              <c:pt idx="8">
                <c:v>22.73</c:v>
              </c:pt>
              <c:pt idx="9">
                <c:v>22.75</c:v>
              </c:pt>
              <c:pt idx="10">
                <c:v>22.78</c:v>
              </c:pt>
              <c:pt idx="11">
                <c:v>22.8</c:v>
              </c:pt>
              <c:pt idx="12">
                <c:v>22.82</c:v>
              </c:pt>
              <c:pt idx="13">
                <c:v>22.85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A1F-48B9-95B1-205E5C1F0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786048"/>
        <c:axId val="937782808"/>
      </c:scatterChart>
      <c:valAx>
        <c:axId val="93778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7782808"/>
        <c:crosses val="autoZero"/>
        <c:crossBetween val="midCat"/>
      </c:valAx>
      <c:valAx>
        <c:axId val="93778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778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Wing_F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0.1000304874944601"/>
                  <c:y val="-0.6797765383493730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7.73</c:v>
              </c:pt>
              <c:pt idx="1">
                <c:v>7.71</c:v>
              </c:pt>
              <c:pt idx="2">
                <c:v>7.68</c:v>
              </c:pt>
              <c:pt idx="3">
                <c:v>7.64</c:v>
              </c:pt>
              <c:pt idx="4">
                <c:v>7.61</c:v>
              </c:pt>
              <c:pt idx="5">
                <c:v>7.57</c:v>
              </c:pt>
              <c:pt idx="6">
                <c:v>7.54</c:v>
              </c:pt>
              <c:pt idx="7">
                <c:v>7.51</c:v>
              </c:pt>
              <c:pt idx="8">
                <c:v>7.49</c:v>
              </c:pt>
              <c:pt idx="9">
                <c:v>7.46</c:v>
              </c:pt>
              <c:pt idx="10">
                <c:v>7.44</c:v>
              </c:pt>
              <c:pt idx="11">
                <c:v>7.42</c:v>
              </c:pt>
              <c:pt idx="12">
                <c:v>7.4</c:v>
              </c:pt>
              <c:pt idx="13">
                <c:v>7.38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84C4-496C-9C50-E5944D702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248456"/>
        <c:axId val="930246656"/>
      </c:scatterChart>
      <c:valAx>
        <c:axId val="930248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246656"/>
        <c:crosses val="autoZero"/>
        <c:crossBetween val="midCat"/>
      </c:valAx>
      <c:valAx>
        <c:axId val="93024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248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SobrecoxaP_M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5369685039370079"/>
                  <c:y val="-7.0476086322543013E-3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9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4">
                <c:v>4</c:v>
              </c:pt>
              <c:pt idx="15">
                <c:v>4.2</c:v>
              </c:pt>
              <c:pt idx="16">
                <c:v>4.4000000000000004</c:v>
              </c:pt>
              <c:pt idx="17">
                <c:v>4.5999999999999996</c:v>
              </c:pt>
              <c:pt idx="18">
                <c:v>4.8</c:v>
              </c:pt>
            </c:numLit>
          </c:xVal>
          <c:yVal>
            <c:numLit>
              <c:formatCode>General</c:formatCode>
              <c:ptCount val="19"/>
              <c:pt idx="0">
                <c:v>9.9499999999999993</c:v>
              </c:pt>
              <c:pt idx="1">
                <c:v>9.92</c:v>
              </c:pt>
              <c:pt idx="2">
                <c:v>9.89</c:v>
              </c:pt>
              <c:pt idx="3">
                <c:v>9.86</c:v>
              </c:pt>
              <c:pt idx="4">
                <c:v>9.84</c:v>
              </c:pt>
              <c:pt idx="5">
                <c:v>9.82</c:v>
              </c:pt>
              <c:pt idx="6">
                <c:v>9.81</c:v>
              </c:pt>
              <c:pt idx="7">
                <c:v>9.8000000000000007</c:v>
              </c:pt>
              <c:pt idx="8">
                <c:v>9.7799999999999994</c:v>
              </c:pt>
              <c:pt idx="9">
                <c:v>9.77</c:v>
              </c:pt>
              <c:pt idx="10">
                <c:v>9.77</c:v>
              </c:pt>
              <c:pt idx="11">
                <c:v>9.76</c:v>
              </c:pt>
              <c:pt idx="14">
                <c:v>9.75</c:v>
              </c:pt>
              <c:pt idx="15">
                <c:v>9.74</c:v>
              </c:pt>
              <c:pt idx="16">
                <c:v>9.74</c:v>
              </c:pt>
              <c:pt idx="17">
                <c:v>9.73</c:v>
              </c:pt>
              <c:pt idx="18">
                <c:v>9.73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B4B-410B-A3EB-1D6C5BA2B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765632"/>
        <c:axId val="741695424"/>
      </c:scatterChart>
      <c:valAx>
        <c:axId val="74876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1695424"/>
        <c:crosses val="autoZero"/>
        <c:crossBetween val="midCat"/>
      </c:valAx>
      <c:valAx>
        <c:axId val="74169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8765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Thigh_F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6.7327916679999086E-2"/>
                  <c:y val="-9.7638888888888886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13.15</c:v>
              </c:pt>
              <c:pt idx="1">
                <c:v>13.22</c:v>
              </c:pt>
              <c:pt idx="2">
                <c:v>13.28</c:v>
              </c:pt>
              <c:pt idx="3">
                <c:v>13.4</c:v>
              </c:pt>
              <c:pt idx="4">
                <c:v>13.48</c:v>
              </c:pt>
              <c:pt idx="5">
                <c:v>13.55</c:v>
              </c:pt>
              <c:pt idx="6">
                <c:v>13.62</c:v>
              </c:pt>
              <c:pt idx="7">
                <c:v>13.68</c:v>
              </c:pt>
              <c:pt idx="8">
                <c:v>13.73</c:v>
              </c:pt>
              <c:pt idx="9">
                <c:v>13.77</c:v>
              </c:pt>
              <c:pt idx="10">
                <c:v>13.82</c:v>
              </c:pt>
              <c:pt idx="11">
                <c:v>13.86</c:v>
              </c:pt>
              <c:pt idx="12">
                <c:v>13.9</c:v>
              </c:pt>
              <c:pt idx="13">
                <c:v>13.93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BC7-4B13-80F2-FAE5E537E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489184"/>
        <c:axId val="613490984"/>
      </c:scatterChart>
      <c:valAx>
        <c:axId val="61348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3490984"/>
        <c:crosses val="autoZero"/>
        <c:crossBetween val="midCat"/>
      </c:valAx>
      <c:valAx>
        <c:axId val="61349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3489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Carcass_M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3.9520516421289384E-2"/>
                  <c:y val="-4.2083333333333334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72.900000000000006</c:v>
              </c:pt>
              <c:pt idx="1">
                <c:v>73.2</c:v>
              </c:pt>
              <c:pt idx="2">
                <c:v>73.45</c:v>
              </c:pt>
              <c:pt idx="3">
                <c:v>74</c:v>
              </c:pt>
              <c:pt idx="4">
                <c:v>74.45</c:v>
              </c:pt>
              <c:pt idx="5">
                <c:v>74.900000000000006</c:v>
              </c:pt>
              <c:pt idx="6">
                <c:v>75.3</c:v>
              </c:pt>
              <c:pt idx="7">
                <c:v>75.650000000000006</c:v>
              </c:pt>
              <c:pt idx="8">
                <c:v>76</c:v>
              </c:pt>
              <c:pt idx="9">
                <c:v>76.349999999999994</c:v>
              </c:pt>
              <c:pt idx="10">
                <c:v>76.7</c:v>
              </c:pt>
              <c:pt idx="11">
                <c:v>77</c:v>
              </c:pt>
              <c:pt idx="12">
                <c:v>77.3</c:v>
              </c:pt>
              <c:pt idx="13">
                <c:v>77.599999999999994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BB45-4F33-8427-40A091C1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222896"/>
        <c:axId val="930224336"/>
      </c:scatterChart>
      <c:valAx>
        <c:axId val="93022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224336"/>
        <c:crosses val="autoZero"/>
        <c:crossBetween val="midCat"/>
      </c:valAx>
      <c:valAx>
        <c:axId val="9302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222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Boneless_M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3.9520516421289384E-2"/>
                  <c:y val="-3.2824074074074075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22.85</c:v>
              </c:pt>
              <c:pt idx="1">
                <c:v>23.15</c:v>
              </c:pt>
              <c:pt idx="2">
                <c:v>23.45</c:v>
              </c:pt>
              <c:pt idx="3">
                <c:v>24</c:v>
              </c:pt>
              <c:pt idx="4">
                <c:v>24.5</c:v>
              </c:pt>
              <c:pt idx="5">
                <c:v>25</c:v>
              </c:pt>
              <c:pt idx="6">
                <c:v>25.4</c:v>
              </c:pt>
              <c:pt idx="7">
                <c:v>25.8</c:v>
              </c:pt>
              <c:pt idx="8">
                <c:v>26.15</c:v>
              </c:pt>
              <c:pt idx="9">
                <c:v>26.45</c:v>
              </c:pt>
              <c:pt idx="10">
                <c:v>26.8</c:v>
              </c:pt>
              <c:pt idx="11">
                <c:v>27.1</c:v>
              </c:pt>
              <c:pt idx="12">
                <c:v>27.35</c:v>
              </c:pt>
              <c:pt idx="13">
                <c:v>27.6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0E6-4817-BB85-E09A83D7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157160"/>
        <c:axId val="912155000"/>
      </c:scatterChart>
      <c:valAx>
        <c:axId val="912157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2155000"/>
        <c:crosses val="autoZero"/>
        <c:crossBetween val="midCat"/>
      </c:valAx>
      <c:valAx>
        <c:axId val="912155000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2157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WholeLeg_M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6.6109945406829157E-2"/>
                  <c:y val="-6.4071157771945178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22.03</c:v>
              </c:pt>
              <c:pt idx="1">
                <c:v>22.18</c:v>
              </c:pt>
              <c:pt idx="2">
                <c:v>22.32</c:v>
              </c:pt>
              <c:pt idx="3">
                <c:v>22.61</c:v>
              </c:pt>
              <c:pt idx="4">
                <c:v>22.87</c:v>
              </c:pt>
              <c:pt idx="5">
                <c:v>23.1</c:v>
              </c:pt>
              <c:pt idx="6">
                <c:v>23.31</c:v>
              </c:pt>
              <c:pt idx="7">
                <c:v>23.5</c:v>
              </c:pt>
              <c:pt idx="8">
                <c:v>23.69</c:v>
              </c:pt>
              <c:pt idx="9">
                <c:v>23.86</c:v>
              </c:pt>
              <c:pt idx="10">
                <c:v>24.02</c:v>
              </c:pt>
              <c:pt idx="11">
                <c:v>24.17</c:v>
              </c:pt>
              <c:pt idx="12">
                <c:v>24.3</c:v>
              </c:pt>
              <c:pt idx="13">
                <c:v>24.43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2F3-4D84-B0FE-2C365DC4D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433912"/>
        <c:axId val="907981936"/>
      </c:scatterChart>
      <c:valAx>
        <c:axId val="697433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7981936"/>
        <c:crosses val="autoZero"/>
        <c:crossBetween val="midCat"/>
      </c:valAx>
      <c:valAx>
        <c:axId val="90798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433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Wing_M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5.7804317706609196E-2"/>
                  <c:y val="-5.1342592592592592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7.4</c:v>
              </c:pt>
              <c:pt idx="1">
                <c:v>7.42</c:v>
              </c:pt>
              <c:pt idx="2">
                <c:v>7.44</c:v>
              </c:pt>
              <c:pt idx="3">
                <c:v>7.49</c:v>
              </c:pt>
              <c:pt idx="4">
                <c:v>7.54</c:v>
              </c:pt>
              <c:pt idx="5">
                <c:v>7.58</c:v>
              </c:pt>
              <c:pt idx="6">
                <c:v>7.62</c:v>
              </c:pt>
              <c:pt idx="7">
                <c:v>7.65</c:v>
              </c:pt>
              <c:pt idx="8">
                <c:v>7.68</c:v>
              </c:pt>
              <c:pt idx="9">
                <c:v>7.71</c:v>
              </c:pt>
              <c:pt idx="10">
                <c:v>7.74</c:v>
              </c:pt>
              <c:pt idx="11">
                <c:v>7.76</c:v>
              </c:pt>
              <c:pt idx="12">
                <c:v>7.78</c:v>
              </c:pt>
              <c:pt idx="13">
                <c:v>7.8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43C-4870-9C08-2B2251279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921976"/>
        <c:axId val="988921256"/>
      </c:scatterChart>
      <c:valAx>
        <c:axId val="988921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8921256"/>
        <c:crosses val="autoZero"/>
        <c:crossBetween val="midCat"/>
      </c:valAx>
      <c:valAx>
        <c:axId val="988921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8921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Thigh_M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7.8459023855033394E-2"/>
                  <c:y val="-0.12250801983085448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12.65</c:v>
              </c:pt>
              <c:pt idx="1">
                <c:v>12.76</c:v>
              </c:pt>
              <c:pt idx="2">
                <c:v>12.87</c:v>
              </c:pt>
              <c:pt idx="3">
                <c:v>13.1</c:v>
              </c:pt>
              <c:pt idx="4">
                <c:v>13.3</c:v>
              </c:pt>
              <c:pt idx="5">
                <c:v>13.48</c:v>
              </c:pt>
              <c:pt idx="6">
                <c:v>13.65</c:v>
              </c:pt>
              <c:pt idx="7">
                <c:v>13.8</c:v>
              </c:pt>
              <c:pt idx="8">
                <c:v>13.95</c:v>
              </c:pt>
              <c:pt idx="9">
                <c:v>14.08</c:v>
              </c:pt>
              <c:pt idx="10">
                <c:v>14.2</c:v>
              </c:pt>
              <c:pt idx="11">
                <c:v>14.32</c:v>
              </c:pt>
              <c:pt idx="12">
                <c:v>14.42</c:v>
              </c:pt>
              <c:pt idx="13">
                <c:v>14.52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C4C3-4E1C-8EFB-C78A76DE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918016"/>
        <c:axId val="988920536"/>
      </c:scatterChart>
      <c:valAx>
        <c:axId val="98891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8920536"/>
        <c:crosses val="autoZero"/>
        <c:crossBetween val="midCat"/>
      </c:valAx>
      <c:valAx>
        <c:axId val="98892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8918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Drumstick_M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4.0504828756277513E-2"/>
                  <c:y val="-4.2342155147273255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4"/>
              <c:pt idx="0">
                <c:v>1590</c:v>
              </c:pt>
              <c:pt idx="1">
                <c:v>1700</c:v>
              </c:pt>
              <c:pt idx="2">
                <c:v>1810</c:v>
              </c:pt>
              <c:pt idx="3">
                <c:v>2040</c:v>
              </c:pt>
              <c:pt idx="4">
                <c:v>2270</c:v>
              </c:pt>
              <c:pt idx="5">
                <c:v>2500</c:v>
              </c:pt>
              <c:pt idx="6">
                <c:v>2730</c:v>
              </c:pt>
              <c:pt idx="7">
                <c:v>2950</c:v>
              </c:pt>
              <c:pt idx="8">
                <c:v>3180</c:v>
              </c:pt>
              <c:pt idx="9">
                <c:v>3400</c:v>
              </c:pt>
              <c:pt idx="10">
                <c:v>3630</c:v>
              </c:pt>
              <c:pt idx="11">
                <c:v>3860</c:v>
              </c:pt>
              <c:pt idx="12">
                <c:v>4090</c:v>
              </c:pt>
              <c:pt idx="13">
                <c:v>4320</c:v>
              </c:pt>
            </c:numLit>
          </c:xVal>
          <c:yVal>
            <c:numLit>
              <c:formatCode>General</c:formatCode>
              <c:ptCount val="14"/>
              <c:pt idx="0">
                <c:v>9.3800000000000008</c:v>
              </c:pt>
              <c:pt idx="1">
                <c:v>9.42</c:v>
              </c:pt>
              <c:pt idx="2">
                <c:v>9.4499999999999993</c:v>
              </c:pt>
              <c:pt idx="3">
                <c:v>9.51</c:v>
              </c:pt>
              <c:pt idx="4">
                <c:v>9.57</c:v>
              </c:pt>
              <c:pt idx="5">
                <c:v>9.6199999999999992</c:v>
              </c:pt>
              <c:pt idx="6">
                <c:v>9.66</c:v>
              </c:pt>
              <c:pt idx="7">
                <c:v>9.6999999999999993</c:v>
              </c:pt>
              <c:pt idx="8">
                <c:v>9.74</c:v>
              </c:pt>
              <c:pt idx="9">
                <c:v>9.7799999999999994</c:v>
              </c:pt>
              <c:pt idx="10">
                <c:v>9.82</c:v>
              </c:pt>
              <c:pt idx="11">
                <c:v>9.85</c:v>
              </c:pt>
              <c:pt idx="12">
                <c:v>9.8800000000000008</c:v>
              </c:pt>
              <c:pt idx="13">
                <c:v>9.91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C9EC-481B-88BC-E4A7060D7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406552"/>
        <c:axId val="999409792"/>
      </c:scatterChart>
      <c:valAx>
        <c:axId val="999406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9409792"/>
        <c:crosses val="autoZero"/>
        <c:crossBetween val="midCat"/>
      </c:valAx>
      <c:valAx>
        <c:axId val="99940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9406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Weight (g)H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8.9049237802893717E-3"/>
                  <c:y val="-6.986111111111111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57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</c:numLit>
          </c:xVal>
          <c:yVal>
            <c:numLit>
              <c:formatCode>General</c:formatCode>
              <c:ptCount val="57"/>
              <c:pt idx="0">
                <c:v>42</c:v>
              </c:pt>
              <c:pt idx="1">
                <c:v>55</c:v>
              </c:pt>
              <c:pt idx="2">
                <c:v>71</c:v>
              </c:pt>
              <c:pt idx="3">
                <c:v>90</c:v>
              </c:pt>
              <c:pt idx="4">
                <c:v>112</c:v>
              </c:pt>
              <c:pt idx="5">
                <c:v>138</c:v>
              </c:pt>
              <c:pt idx="6">
                <c:v>168</c:v>
              </c:pt>
              <c:pt idx="7">
                <c:v>202</c:v>
              </c:pt>
              <c:pt idx="8">
                <c:v>240</c:v>
              </c:pt>
              <c:pt idx="9">
                <c:v>283</c:v>
              </c:pt>
              <c:pt idx="10">
                <c:v>330</c:v>
              </c:pt>
              <c:pt idx="11">
                <c:v>382</c:v>
              </c:pt>
              <c:pt idx="12">
                <c:v>440</c:v>
              </c:pt>
              <c:pt idx="13">
                <c:v>503</c:v>
              </c:pt>
              <c:pt idx="14">
                <c:v>570</c:v>
              </c:pt>
              <c:pt idx="15">
                <c:v>639</c:v>
              </c:pt>
              <c:pt idx="16">
                <c:v>711</c:v>
              </c:pt>
              <c:pt idx="17">
                <c:v>786</c:v>
              </c:pt>
              <c:pt idx="18">
                <c:v>864</c:v>
              </c:pt>
              <c:pt idx="19">
                <c:v>945</c:v>
              </c:pt>
              <c:pt idx="20">
                <c:v>1029</c:v>
              </c:pt>
              <c:pt idx="21">
                <c:v>1116</c:v>
              </c:pt>
              <c:pt idx="22">
                <c:v>1205</c:v>
              </c:pt>
              <c:pt idx="23">
                <c:v>1296</c:v>
              </c:pt>
              <c:pt idx="24">
                <c:v>1390</c:v>
              </c:pt>
              <c:pt idx="25">
                <c:v>1486</c:v>
              </c:pt>
              <c:pt idx="26">
                <c:v>1583</c:v>
              </c:pt>
              <c:pt idx="27">
                <c:v>1682</c:v>
              </c:pt>
              <c:pt idx="28">
                <c:v>1783</c:v>
              </c:pt>
              <c:pt idx="29">
                <c:v>1886</c:v>
              </c:pt>
              <c:pt idx="30">
                <c:v>1989</c:v>
              </c:pt>
              <c:pt idx="31">
                <c:v>2094</c:v>
              </c:pt>
              <c:pt idx="32">
                <c:v>2200</c:v>
              </c:pt>
              <c:pt idx="33">
                <c:v>2306</c:v>
              </c:pt>
              <c:pt idx="34">
                <c:v>2413</c:v>
              </c:pt>
              <c:pt idx="35">
                <c:v>2521</c:v>
              </c:pt>
              <c:pt idx="36">
                <c:v>2629</c:v>
              </c:pt>
              <c:pt idx="37">
                <c:v>2738</c:v>
              </c:pt>
              <c:pt idx="38">
                <c:v>2846</c:v>
              </c:pt>
              <c:pt idx="39">
                <c:v>2954</c:v>
              </c:pt>
              <c:pt idx="40">
                <c:v>3062</c:v>
              </c:pt>
              <c:pt idx="41">
                <c:v>3170</c:v>
              </c:pt>
              <c:pt idx="42">
                <c:v>3278</c:v>
              </c:pt>
              <c:pt idx="43">
                <c:v>3384</c:v>
              </c:pt>
              <c:pt idx="44">
                <c:v>3490</c:v>
              </c:pt>
              <c:pt idx="45">
                <c:v>3595</c:v>
              </c:pt>
              <c:pt idx="46">
                <c:v>3699</c:v>
              </c:pt>
              <c:pt idx="47">
                <c:v>3801</c:v>
              </c:pt>
              <c:pt idx="48">
                <c:v>3902</c:v>
              </c:pt>
              <c:pt idx="49">
                <c:v>4001</c:v>
              </c:pt>
              <c:pt idx="50">
                <c:v>4099</c:v>
              </c:pt>
              <c:pt idx="51">
                <c:v>4195</c:v>
              </c:pt>
              <c:pt idx="52">
                <c:v>4289</c:v>
              </c:pt>
              <c:pt idx="53">
                <c:v>4380</c:v>
              </c:pt>
              <c:pt idx="54">
                <c:v>4470</c:v>
              </c:pt>
              <c:pt idx="55">
                <c:v>4557</c:v>
              </c:pt>
              <c:pt idx="56">
                <c:v>4641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E2A0-4016-B72B-78746F806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167320"/>
        <c:axId val="700165880"/>
      </c:scatterChart>
      <c:valAx>
        <c:axId val="70016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0165880"/>
        <c:crosses val="autoZero"/>
        <c:crossBetween val="midCat"/>
      </c:valAx>
      <c:valAx>
        <c:axId val="70016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0167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Weight (g)M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1.8339199047521931E-2"/>
                  <c:y val="-5.4700349956255466E-2"/>
                </c:manualLayout>
              </c:layout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57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</c:numLit>
          </c:xVal>
          <c:yVal>
            <c:numLit>
              <c:formatCode>General</c:formatCode>
              <c:ptCount val="57"/>
              <c:pt idx="0">
                <c:v>42</c:v>
              </c:pt>
              <c:pt idx="1">
                <c:v>56</c:v>
              </c:pt>
              <c:pt idx="2">
                <c:v>72</c:v>
              </c:pt>
              <c:pt idx="3">
                <c:v>92</c:v>
              </c:pt>
              <c:pt idx="4">
                <c:v>114</c:v>
              </c:pt>
              <c:pt idx="5">
                <c:v>141</c:v>
              </c:pt>
              <c:pt idx="6">
                <c:v>171</c:v>
              </c:pt>
              <c:pt idx="7">
                <c:v>205</c:v>
              </c:pt>
              <c:pt idx="8">
                <c:v>244</c:v>
              </c:pt>
              <c:pt idx="9">
                <c:v>289</c:v>
              </c:pt>
              <c:pt idx="10">
                <c:v>339</c:v>
              </c:pt>
              <c:pt idx="11">
                <c:v>395</c:v>
              </c:pt>
              <c:pt idx="12">
                <c:v>457</c:v>
              </c:pt>
              <c:pt idx="13">
                <c:v>525</c:v>
              </c:pt>
              <c:pt idx="14">
                <c:v>603</c:v>
              </c:pt>
              <c:pt idx="15">
                <c:v>677</c:v>
              </c:pt>
              <c:pt idx="16">
                <c:v>754</c:v>
              </c:pt>
              <c:pt idx="17">
                <c:v>834</c:v>
              </c:pt>
              <c:pt idx="18">
                <c:v>918</c:v>
              </c:pt>
              <c:pt idx="19">
                <c:v>1005</c:v>
              </c:pt>
              <c:pt idx="20">
                <c:v>1095</c:v>
              </c:pt>
              <c:pt idx="21">
                <c:v>1188</c:v>
              </c:pt>
              <c:pt idx="22">
                <c:v>1284</c:v>
              </c:pt>
              <c:pt idx="23">
                <c:v>1382</c:v>
              </c:pt>
              <c:pt idx="24">
                <c:v>1482</c:v>
              </c:pt>
              <c:pt idx="25">
                <c:v>1585</c:v>
              </c:pt>
              <c:pt idx="26">
                <c:v>1690</c:v>
              </c:pt>
              <c:pt idx="27">
                <c:v>1796</c:v>
              </c:pt>
              <c:pt idx="28">
                <c:v>1904</c:v>
              </c:pt>
              <c:pt idx="29">
                <c:v>2014</c:v>
              </c:pt>
              <c:pt idx="30">
                <c:v>2125</c:v>
              </c:pt>
              <c:pt idx="31">
                <c:v>2237</c:v>
              </c:pt>
              <c:pt idx="32">
                <c:v>2350</c:v>
              </c:pt>
              <c:pt idx="33">
                <c:v>2464</c:v>
              </c:pt>
              <c:pt idx="34">
                <c:v>2579</c:v>
              </c:pt>
              <c:pt idx="35">
                <c:v>2694</c:v>
              </c:pt>
              <c:pt idx="36">
                <c:v>2810</c:v>
              </c:pt>
              <c:pt idx="37">
                <c:v>2926</c:v>
              </c:pt>
              <c:pt idx="38">
                <c:v>3042</c:v>
              </c:pt>
              <c:pt idx="39">
                <c:v>3158</c:v>
              </c:pt>
              <c:pt idx="40">
                <c:v>3274</c:v>
              </c:pt>
              <c:pt idx="41">
                <c:v>3389</c:v>
              </c:pt>
              <c:pt idx="42">
                <c:v>3503</c:v>
              </c:pt>
              <c:pt idx="43">
                <c:v>3617</c:v>
              </c:pt>
              <c:pt idx="44">
                <c:v>3730</c:v>
              </c:pt>
              <c:pt idx="45">
                <c:v>3842</c:v>
              </c:pt>
              <c:pt idx="46">
                <c:v>3952</c:v>
              </c:pt>
              <c:pt idx="47">
                <c:v>4062</c:v>
              </c:pt>
              <c:pt idx="48">
                <c:v>4169</c:v>
              </c:pt>
              <c:pt idx="49">
                <c:v>4275</c:v>
              </c:pt>
              <c:pt idx="50">
                <c:v>4379</c:v>
              </c:pt>
              <c:pt idx="51">
                <c:v>4481</c:v>
              </c:pt>
              <c:pt idx="52">
                <c:v>4580</c:v>
              </c:pt>
              <c:pt idx="53">
                <c:v>4677</c:v>
              </c:pt>
              <c:pt idx="54">
                <c:v>4772</c:v>
              </c:pt>
              <c:pt idx="55">
                <c:v>4864</c:v>
              </c:pt>
              <c:pt idx="56">
                <c:v>4953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12E-4592-AB75-6FDC903D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373296"/>
        <c:axId val="380214064"/>
      </c:scatterChart>
      <c:valAx>
        <c:axId val="88437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0214064"/>
        <c:crosses val="autoZero"/>
        <c:crossBetween val="midCat"/>
      </c:valAx>
      <c:valAx>
        <c:axId val="38021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4373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Weight (g)F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numFmt formatCode="#,##0.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57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</c:numLit>
          </c:xVal>
          <c:yVal>
            <c:numLit>
              <c:formatCode>General</c:formatCode>
              <c:ptCount val="57"/>
              <c:pt idx="0">
                <c:v>42</c:v>
              </c:pt>
              <c:pt idx="1">
                <c:v>54</c:v>
              </c:pt>
              <c:pt idx="2">
                <c:v>70</c:v>
              </c:pt>
              <c:pt idx="3">
                <c:v>88</c:v>
              </c:pt>
              <c:pt idx="4">
                <c:v>110</c:v>
              </c:pt>
              <c:pt idx="5">
                <c:v>135</c:v>
              </c:pt>
              <c:pt idx="6">
                <c:v>165</c:v>
              </c:pt>
              <c:pt idx="7">
                <c:v>199</c:v>
              </c:pt>
              <c:pt idx="8">
                <c:v>236</c:v>
              </c:pt>
              <c:pt idx="9">
                <c:v>276</c:v>
              </c:pt>
              <c:pt idx="10">
                <c:v>320</c:v>
              </c:pt>
              <c:pt idx="11">
                <c:v>369</c:v>
              </c:pt>
              <c:pt idx="12">
                <c:v>421</c:v>
              </c:pt>
              <c:pt idx="13">
                <c:v>478</c:v>
              </c:pt>
              <c:pt idx="14">
                <c:v>537</c:v>
              </c:pt>
              <c:pt idx="15">
                <c:v>601</c:v>
              </c:pt>
              <c:pt idx="16">
                <c:v>667</c:v>
              </c:pt>
              <c:pt idx="17">
                <c:v>737</c:v>
              </c:pt>
              <c:pt idx="18">
                <c:v>810</c:v>
              </c:pt>
              <c:pt idx="19">
                <c:v>885</c:v>
              </c:pt>
              <c:pt idx="20">
                <c:v>963</c:v>
              </c:pt>
              <c:pt idx="21">
                <c:v>1043</c:v>
              </c:pt>
              <c:pt idx="22">
                <c:v>1126</c:v>
              </c:pt>
              <c:pt idx="23">
                <c:v>1210</c:v>
              </c:pt>
              <c:pt idx="24">
                <c:v>1297</c:v>
              </c:pt>
              <c:pt idx="25">
                <c:v>1386</c:v>
              </c:pt>
              <c:pt idx="26">
                <c:v>1477</c:v>
              </c:pt>
              <c:pt idx="27">
                <c:v>1569</c:v>
              </c:pt>
              <c:pt idx="28">
                <c:v>1662</c:v>
              </c:pt>
              <c:pt idx="29">
                <c:v>1757</c:v>
              </c:pt>
              <c:pt idx="30">
                <c:v>1853</c:v>
              </c:pt>
              <c:pt idx="31">
                <c:v>1951</c:v>
              </c:pt>
              <c:pt idx="32">
                <c:v>2049</c:v>
              </c:pt>
              <c:pt idx="33">
                <c:v>2148</c:v>
              </c:pt>
              <c:pt idx="34">
                <c:v>2248</c:v>
              </c:pt>
              <c:pt idx="35">
                <c:v>2348</c:v>
              </c:pt>
              <c:pt idx="36">
                <c:v>2448</c:v>
              </c:pt>
              <c:pt idx="37">
                <c:v>2549</c:v>
              </c:pt>
              <c:pt idx="38">
                <c:v>2650</c:v>
              </c:pt>
              <c:pt idx="39">
                <c:v>2751</c:v>
              </c:pt>
              <c:pt idx="40">
                <c:v>2852</c:v>
              </c:pt>
              <c:pt idx="41">
                <c:v>2952</c:v>
              </c:pt>
              <c:pt idx="42">
                <c:v>3052</c:v>
              </c:pt>
              <c:pt idx="43">
                <c:v>3151</c:v>
              </c:pt>
              <c:pt idx="44">
                <c:v>3250</c:v>
              </c:pt>
              <c:pt idx="45">
                <c:v>3348</c:v>
              </c:pt>
              <c:pt idx="46">
                <c:v>3445</c:v>
              </c:pt>
              <c:pt idx="47">
                <c:v>3540</c:v>
              </c:pt>
              <c:pt idx="48">
                <c:v>3635</c:v>
              </c:pt>
              <c:pt idx="49">
                <c:v>3728</c:v>
              </c:pt>
              <c:pt idx="50">
                <c:v>3819</c:v>
              </c:pt>
              <c:pt idx="51">
                <c:v>3909</c:v>
              </c:pt>
              <c:pt idx="52">
                <c:v>3997</c:v>
              </c:pt>
              <c:pt idx="53">
                <c:v>4083</c:v>
              </c:pt>
              <c:pt idx="54">
                <c:v>4167</c:v>
              </c:pt>
              <c:pt idx="55">
                <c:v>4249</c:v>
              </c:pt>
              <c:pt idx="56">
                <c:v>4329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20B5-4954-9A9B-DD321DF4C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409072"/>
        <c:axId val="999407272"/>
      </c:scatterChart>
      <c:valAx>
        <c:axId val="99940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9407272"/>
        <c:crosses val="autoZero"/>
        <c:crossBetween val="midCat"/>
      </c:valAx>
      <c:valAx>
        <c:axId val="99940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9409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AsaP_M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5629396325459319"/>
                  <c:y val="9.1608340624088657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9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4">
                <c:v>4</c:v>
              </c:pt>
              <c:pt idx="15">
                <c:v>4.2</c:v>
              </c:pt>
              <c:pt idx="16">
                <c:v>4.4000000000000004</c:v>
              </c:pt>
              <c:pt idx="17">
                <c:v>4.5999999999999996</c:v>
              </c:pt>
              <c:pt idx="18">
                <c:v>4.8</c:v>
              </c:pt>
            </c:numLit>
          </c:xVal>
          <c:yVal>
            <c:numLit>
              <c:formatCode>General</c:formatCode>
              <c:ptCount val="19"/>
              <c:pt idx="0">
                <c:v>8.0500000000000007</c:v>
              </c:pt>
              <c:pt idx="1">
                <c:v>8.01</c:v>
              </c:pt>
              <c:pt idx="2">
                <c:v>7.97</c:v>
              </c:pt>
              <c:pt idx="3">
                <c:v>7.95</c:v>
              </c:pt>
              <c:pt idx="4">
                <c:v>7.92</c:v>
              </c:pt>
              <c:pt idx="5">
                <c:v>7.9</c:v>
              </c:pt>
              <c:pt idx="6">
                <c:v>7.88</c:v>
              </c:pt>
              <c:pt idx="7">
                <c:v>7.87</c:v>
              </c:pt>
              <c:pt idx="8">
                <c:v>7.85</c:v>
              </c:pt>
              <c:pt idx="9">
                <c:v>7.84</c:v>
              </c:pt>
              <c:pt idx="10">
                <c:v>7.83</c:v>
              </c:pt>
              <c:pt idx="11">
                <c:v>7.82</c:v>
              </c:pt>
              <c:pt idx="14">
                <c:v>7.81</c:v>
              </c:pt>
              <c:pt idx="15">
                <c:v>7.81</c:v>
              </c:pt>
              <c:pt idx="16">
                <c:v>7.8</c:v>
              </c:pt>
              <c:pt idx="17">
                <c:v>7.79</c:v>
              </c:pt>
              <c:pt idx="18">
                <c:v>7.79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E0D3-4F6B-8355-24E9A52B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746192"/>
        <c:axId val="748755912"/>
      </c:scatterChart>
      <c:valAx>
        <c:axId val="74874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8755912"/>
        <c:crosses val="autoZero"/>
        <c:crossBetween val="midCat"/>
      </c:valAx>
      <c:valAx>
        <c:axId val="7487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874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CarneCoxaDes_M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5839129483814524"/>
                  <c:y val="-9.675925925925926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9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4">
                <c:v>4</c:v>
              </c:pt>
              <c:pt idx="15">
                <c:v>4.2</c:v>
              </c:pt>
              <c:pt idx="16">
                <c:v>4.4000000000000004</c:v>
              </c:pt>
              <c:pt idx="17">
                <c:v>4.5999999999999996</c:v>
              </c:pt>
              <c:pt idx="18">
                <c:v>4.8</c:v>
              </c:pt>
            </c:numLit>
          </c:xVal>
          <c:yVal>
            <c:numLit>
              <c:formatCode>General</c:formatCode>
              <c:ptCount val="19"/>
              <c:pt idx="0">
                <c:v>15.65</c:v>
              </c:pt>
              <c:pt idx="1">
                <c:v>16.149999999999999</c:v>
              </c:pt>
              <c:pt idx="2">
                <c:v>16.55</c:v>
              </c:pt>
              <c:pt idx="3">
                <c:v>16.88</c:v>
              </c:pt>
              <c:pt idx="4">
                <c:v>17.16</c:v>
              </c:pt>
              <c:pt idx="5">
                <c:v>17.39</c:v>
              </c:pt>
              <c:pt idx="6">
                <c:v>17.59</c:v>
              </c:pt>
              <c:pt idx="7">
                <c:v>17.760000000000002</c:v>
              </c:pt>
              <c:pt idx="8">
                <c:v>17.91</c:v>
              </c:pt>
              <c:pt idx="9">
                <c:v>18.04</c:v>
              </c:pt>
              <c:pt idx="10">
                <c:v>18.16</c:v>
              </c:pt>
              <c:pt idx="11">
                <c:v>18.27</c:v>
              </c:pt>
              <c:pt idx="14">
                <c:v>18.36</c:v>
              </c:pt>
              <c:pt idx="15">
                <c:v>18.45</c:v>
              </c:pt>
              <c:pt idx="16">
                <c:v>18.53</c:v>
              </c:pt>
              <c:pt idx="17">
                <c:v>18.600000000000001</c:v>
              </c:pt>
              <c:pt idx="18">
                <c:v>18.670000000000002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0B8-4B0A-A146-0FF0A25A2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701904"/>
        <c:axId val="741703344"/>
      </c:scatterChart>
      <c:valAx>
        <c:axId val="74170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1703344"/>
        <c:crosses val="autoZero"/>
        <c:crossBetween val="midCat"/>
      </c:valAx>
      <c:valAx>
        <c:axId val="74170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1701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PeitoDes_M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0061067366579177"/>
                  <c:y val="2.7361111111111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9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4">
                <c:v>4</c:v>
              </c:pt>
              <c:pt idx="15">
                <c:v>4.2</c:v>
              </c:pt>
              <c:pt idx="16">
                <c:v>4.4000000000000004</c:v>
              </c:pt>
              <c:pt idx="17">
                <c:v>4.5999999999999996</c:v>
              </c:pt>
              <c:pt idx="18">
                <c:v>4.8</c:v>
              </c:pt>
            </c:numLit>
          </c:xVal>
          <c:yVal>
            <c:numLit>
              <c:formatCode>General</c:formatCode>
              <c:ptCount val="19"/>
              <c:pt idx="0">
                <c:v>22.09</c:v>
              </c:pt>
              <c:pt idx="1">
                <c:v>23.15</c:v>
              </c:pt>
              <c:pt idx="2">
                <c:v>23.99</c:v>
              </c:pt>
              <c:pt idx="3">
                <c:v>24.68</c:v>
              </c:pt>
              <c:pt idx="4">
                <c:v>25.25</c:v>
              </c:pt>
              <c:pt idx="5">
                <c:v>25.74</c:v>
              </c:pt>
              <c:pt idx="6">
                <c:v>26.16</c:v>
              </c:pt>
              <c:pt idx="7">
                <c:v>26.52</c:v>
              </c:pt>
              <c:pt idx="8">
                <c:v>26.83</c:v>
              </c:pt>
              <c:pt idx="9">
                <c:v>27.11</c:v>
              </c:pt>
              <c:pt idx="10">
                <c:v>27.36</c:v>
              </c:pt>
              <c:pt idx="11">
                <c:v>27.58</c:v>
              </c:pt>
              <c:pt idx="14">
                <c:v>27.78</c:v>
              </c:pt>
              <c:pt idx="15">
                <c:v>27.96</c:v>
              </c:pt>
              <c:pt idx="16">
                <c:v>28.13</c:v>
              </c:pt>
              <c:pt idx="17">
                <c:v>28.28</c:v>
              </c:pt>
              <c:pt idx="18">
                <c:v>28.41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4C05-461D-82D2-E921FBA27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667496"/>
        <c:axId val="730667856"/>
      </c:scatterChart>
      <c:valAx>
        <c:axId val="730667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67856"/>
        <c:crosses val="autoZero"/>
        <c:crossBetween val="midCat"/>
      </c:valAx>
      <c:valAx>
        <c:axId val="730667856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67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TotalCarne_M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7961067366579178"/>
                  <c:y val="3.22182123067949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9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4">
                <c:v>4</c:v>
              </c:pt>
              <c:pt idx="15">
                <c:v>4.2</c:v>
              </c:pt>
              <c:pt idx="16">
                <c:v>4.4000000000000004</c:v>
              </c:pt>
              <c:pt idx="17">
                <c:v>4.5999999999999996</c:v>
              </c:pt>
              <c:pt idx="18">
                <c:v>4.8</c:v>
              </c:pt>
            </c:numLit>
          </c:xVal>
          <c:yVal>
            <c:numLit>
              <c:formatCode>General</c:formatCode>
              <c:ptCount val="19"/>
              <c:pt idx="0">
                <c:v>37.74</c:v>
              </c:pt>
              <c:pt idx="1">
                <c:v>39.299999999999997</c:v>
              </c:pt>
              <c:pt idx="2">
                <c:v>40.54</c:v>
              </c:pt>
              <c:pt idx="3">
                <c:v>41.56</c:v>
              </c:pt>
              <c:pt idx="4">
                <c:v>42.41</c:v>
              </c:pt>
              <c:pt idx="5">
                <c:v>43.13</c:v>
              </c:pt>
              <c:pt idx="6">
                <c:v>43.74</c:v>
              </c:pt>
              <c:pt idx="7">
                <c:v>44.28</c:v>
              </c:pt>
              <c:pt idx="8">
                <c:v>44.74</c:v>
              </c:pt>
              <c:pt idx="9">
                <c:v>45.16</c:v>
              </c:pt>
              <c:pt idx="10">
                <c:v>45.52</c:v>
              </c:pt>
              <c:pt idx="11">
                <c:v>45.85</c:v>
              </c:pt>
              <c:pt idx="14">
                <c:v>46.15</c:v>
              </c:pt>
              <c:pt idx="15">
                <c:v>46.41</c:v>
              </c:pt>
              <c:pt idx="16">
                <c:v>46.65</c:v>
              </c:pt>
              <c:pt idx="17">
                <c:v>46.88</c:v>
              </c:pt>
              <c:pt idx="18">
                <c:v>47.08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023-44A9-8898-EF5CB1A3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663176"/>
        <c:axId val="730653096"/>
      </c:scatterChart>
      <c:valAx>
        <c:axId val="730663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53096"/>
        <c:crosses val="autoZero"/>
        <c:crossBetween val="midCat"/>
      </c:valAx>
      <c:valAx>
        <c:axId val="730653096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63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PorcaoPeitoP_F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4256758530183728"/>
                  <c:y val="1.81018518518518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3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2">
                <c:v>4</c:v>
              </c:pt>
            </c:numLit>
          </c:xVal>
          <c:yVal>
            <c:numLit>
              <c:formatCode>General</c:formatCode>
              <c:ptCount val="13"/>
              <c:pt idx="0">
                <c:v>23.51</c:v>
              </c:pt>
              <c:pt idx="1">
                <c:v>24.75</c:v>
              </c:pt>
              <c:pt idx="2">
                <c:v>25.74</c:v>
              </c:pt>
              <c:pt idx="3">
                <c:v>26.56</c:v>
              </c:pt>
              <c:pt idx="4">
                <c:v>27.23</c:v>
              </c:pt>
              <c:pt idx="5">
                <c:v>27.81</c:v>
              </c:pt>
              <c:pt idx="6">
                <c:v>28.3</c:v>
              </c:pt>
              <c:pt idx="7">
                <c:v>28.72</c:v>
              </c:pt>
              <c:pt idx="8">
                <c:v>29.09</c:v>
              </c:pt>
              <c:pt idx="9">
                <c:v>29.42</c:v>
              </c:pt>
              <c:pt idx="10">
                <c:v>29.71</c:v>
              </c:pt>
              <c:pt idx="11">
                <c:v>29.98</c:v>
              </c:pt>
              <c:pt idx="12">
                <c:v>30.21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69C-4957-894B-40C75FF38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667496"/>
        <c:axId val="730680456"/>
      </c:scatterChart>
      <c:valAx>
        <c:axId val="730667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80456"/>
        <c:crosses val="autoZero"/>
        <c:crossBetween val="midCat"/>
      </c:valAx>
      <c:valAx>
        <c:axId val="730680456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0667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CoxaP_F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4222353455818021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Lit>
              <c:formatCode>General</c:formatCode>
              <c:ptCount val="13"/>
              <c:pt idx="0">
                <c:v>1.6</c:v>
              </c:pt>
              <c:pt idx="1">
                <c:v>1.8</c:v>
              </c:pt>
              <c:pt idx="2">
                <c:v>2</c:v>
              </c:pt>
              <c:pt idx="3">
                <c:v>2.2000000000000002</c:v>
              </c:pt>
              <c:pt idx="4">
                <c:v>2.4</c:v>
              </c:pt>
              <c:pt idx="5">
                <c:v>2.6</c:v>
              </c:pt>
              <c:pt idx="6">
                <c:v>2.8</c:v>
              </c:pt>
              <c:pt idx="7">
                <c:v>3</c:v>
              </c:pt>
              <c:pt idx="8">
                <c:v>3.2</c:v>
              </c:pt>
              <c:pt idx="9">
                <c:v>3.4</c:v>
              </c:pt>
              <c:pt idx="10">
                <c:v>3.6</c:v>
              </c:pt>
              <c:pt idx="11">
                <c:v>3.8</c:v>
              </c:pt>
              <c:pt idx="12">
                <c:v>4</c:v>
              </c:pt>
            </c:numLit>
          </c:xVal>
          <c:yVal>
            <c:numLit>
              <c:formatCode>General</c:formatCode>
              <c:ptCount val="13"/>
              <c:pt idx="0">
                <c:v>13.13</c:v>
              </c:pt>
              <c:pt idx="1">
                <c:v>13.28</c:v>
              </c:pt>
              <c:pt idx="2">
                <c:v>13.41</c:v>
              </c:pt>
              <c:pt idx="3">
                <c:v>13.51</c:v>
              </c:pt>
              <c:pt idx="4">
                <c:v>13.59</c:v>
              </c:pt>
              <c:pt idx="5">
                <c:v>13.67</c:v>
              </c:pt>
              <c:pt idx="6">
                <c:v>13.73</c:v>
              </c:pt>
              <c:pt idx="7">
                <c:v>13.78</c:v>
              </c:pt>
              <c:pt idx="8">
                <c:v>13.83</c:v>
              </c:pt>
              <c:pt idx="9">
                <c:v>13.87</c:v>
              </c:pt>
              <c:pt idx="10">
                <c:v>13.91</c:v>
              </c:pt>
              <c:pt idx="11">
                <c:v>13.94</c:v>
              </c:pt>
              <c:pt idx="12">
                <c:v>13.97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103-4768-AB03-596868F21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740792"/>
        <c:axId val="748743312"/>
      </c:scatterChart>
      <c:valAx>
        <c:axId val="748740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8743312"/>
        <c:crosses val="autoZero"/>
        <c:crossBetween val="midCat"/>
      </c:valAx>
      <c:valAx>
        <c:axId val="74874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8740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$B$7" inc="10" max="4850" min="1600" page="10" val="3000"/>
</file>

<file path=xl/ctrlProps/ctrlProp2.xml><?xml version="1.0" encoding="utf-8"?>
<formControlPr xmlns="http://schemas.microsoft.com/office/spreadsheetml/2009/9/main" objectType="Spin" dx="22" fmlaLink="$B$20" max="56" min="1" page="10" val="35"/>
</file>

<file path=xl/ctrlProps/ctrlProp3.xml><?xml version="1.0" encoding="utf-8"?>
<formControlPr xmlns="http://schemas.microsoft.com/office/spreadsheetml/2009/9/main" objectType="Spin" dx="22" fmlaLink="$B$11" inc="10" max="4320" min="1590" page="10" val="3000"/>
</file>

<file path=xl/ctrlProps/ctrlProp4.xml><?xml version="1.0" encoding="utf-8"?>
<formControlPr xmlns="http://schemas.microsoft.com/office/spreadsheetml/2009/9/main" objectType="Spin" dx="22" fmlaLink="$B$20" max="56" min="1" page="10" val="35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hyperlink" Target="https://drive.google.com/file/d/12m0m8Y97hZxJwsJ9GfUdpaT-2AyAVEYk/view?usp=download" TargetMode="External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18.png"/><Relationship Id="rId3" Type="http://schemas.openxmlformats.org/officeDocument/2006/relationships/image" Target="../media/image2.png"/><Relationship Id="rId7" Type="http://schemas.openxmlformats.org/officeDocument/2006/relationships/hyperlink" Target="https://drive.google.com/file/d/1PpLrIhyCO2pmFXKKwcbKpfY2x7WZkT7R/view?usp=download" TargetMode="External"/><Relationship Id="rId12" Type="http://schemas.openxmlformats.org/officeDocument/2006/relationships/image" Target="../media/image17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3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3.png"/><Relationship Id="rId26" Type="http://schemas.openxmlformats.org/officeDocument/2006/relationships/hyperlink" Target="https://drive.google.com/file/d/12m0m8Y97hZxJwsJ9GfUdpaT-2AyAVEYk/view?usp=download" TargetMode="External"/><Relationship Id="rId3" Type="http://schemas.openxmlformats.org/officeDocument/2006/relationships/chart" Target="../charts/chart3.xml"/><Relationship Id="rId21" Type="http://schemas.openxmlformats.org/officeDocument/2006/relationships/chart" Target="../charts/chart16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21.png"/><Relationship Id="rId25" Type="http://schemas.openxmlformats.org/officeDocument/2006/relationships/image" Target="../media/image2.png"/><Relationship Id="rId2" Type="http://schemas.openxmlformats.org/officeDocument/2006/relationships/chart" Target="../charts/chart2.xml"/><Relationship Id="rId16" Type="http://schemas.openxmlformats.org/officeDocument/2006/relationships/image" Target="../media/image20.png"/><Relationship Id="rId20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19.xml"/><Relationship Id="rId5" Type="http://schemas.openxmlformats.org/officeDocument/2006/relationships/chart" Target="../charts/chart5.xml"/><Relationship Id="rId15" Type="http://schemas.openxmlformats.org/officeDocument/2006/relationships/image" Target="../media/image19.png"/><Relationship Id="rId23" Type="http://schemas.openxmlformats.org/officeDocument/2006/relationships/chart" Target="../charts/chart18.xml"/><Relationship Id="rId10" Type="http://schemas.openxmlformats.org/officeDocument/2006/relationships/chart" Target="../charts/chart10.xml"/><Relationship Id="rId19" Type="http://schemas.openxmlformats.org/officeDocument/2006/relationships/image" Target="../media/image9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17.xml"/><Relationship Id="rId27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18" Type="http://schemas.openxmlformats.org/officeDocument/2006/relationships/chart" Target="../charts/chart37.xml"/><Relationship Id="rId3" Type="http://schemas.openxmlformats.org/officeDocument/2006/relationships/chart" Target="../charts/chart22.xml"/><Relationship Id="rId21" Type="http://schemas.openxmlformats.org/officeDocument/2006/relationships/hyperlink" Target="https://drive.google.com/file/d/1PpLrIhyCO2pmFXKKwcbKpfY2x7WZkT7R/view?usp=download" TargetMode="Externa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17" Type="http://schemas.openxmlformats.org/officeDocument/2006/relationships/chart" Target="../charts/chart36.xml"/><Relationship Id="rId2" Type="http://schemas.openxmlformats.org/officeDocument/2006/relationships/chart" Target="../charts/chart21.xml"/><Relationship Id="rId16" Type="http://schemas.openxmlformats.org/officeDocument/2006/relationships/chart" Target="../charts/chart35.xml"/><Relationship Id="rId20" Type="http://schemas.openxmlformats.org/officeDocument/2006/relationships/chart" Target="../charts/chart39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5" Type="http://schemas.openxmlformats.org/officeDocument/2006/relationships/chart" Target="../charts/chart34.xml"/><Relationship Id="rId10" Type="http://schemas.openxmlformats.org/officeDocument/2006/relationships/chart" Target="../charts/chart29.xml"/><Relationship Id="rId19" Type="http://schemas.openxmlformats.org/officeDocument/2006/relationships/chart" Target="../charts/chart38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Relationship Id="rId22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201331</xdr:colOff>
      <xdr:row>7</xdr:row>
      <xdr:rowOff>199159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678C429-6838-4F5C-B346-75B4A8A93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astelsSmooth/>
                  </a14:imgEffect>
                  <a14:imgEffect>
                    <a14:colorTemperature colorTemp="7200"/>
                  </a14:imgEffect>
                  <a14:imgEffect>
                    <a14:saturation sa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2270854" cy="158461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26</xdr:row>
      <xdr:rowOff>91476</xdr:rowOff>
    </xdr:from>
    <xdr:to>
      <xdr:col>9</xdr:col>
      <xdr:colOff>133011</xdr:colOff>
      <xdr:row>32</xdr:row>
      <xdr:rowOff>103910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3C41F7BE-61FF-4552-8A4B-0EDE616C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7658"/>
          <a:ext cx="5008079" cy="1164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139410</xdr:colOff>
      <xdr:row>3</xdr:row>
      <xdr:rowOff>66228</xdr:rowOff>
    </xdr:from>
    <xdr:to>
      <xdr:col>10</xdr:col>
      <xdr:colOff>84858</xdr:colOff>
      <xdr:row>5</xdr:row>
      <xdr:rowOff>84858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DC6641FC-552B-41D0-97CE-8DD69BA8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4478" y="689683"/>
          <a:ext cx="733425" cy="3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11</xdr:row>
          <xdr:rowOff>47625</xdr:rowOff>
        </xdr:from>
        <xdr:to>
          <xdr:col>1</xdr:col>
          <xdr:colOff>581025</xdr:colOff>
          <xdr:row>15</xdr:row>
          <xdr:rowOff>28575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20</xdr:row>
          <xdr:rowOff>85725</xdr:rowOff>
        </xdr:from>
        <xdr:to>
          <xdr:col>1</xdr:col>
          <xdr:colOff>581025</xdr:colOff>
          <xdr:row>24</xdr:row>
          <xdr:rowOff>19050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76</xdr:row>
      <xdr:rowOff>109011</xdr:rowOff>
    </xdr:from>
    <xdr:to>
      <xdr:col>14</xdr:col>
      <xdr:colOff>891887</xdr:colOff>
      <xdr:row>80</xdr:row>
      <xdr:rowOff>37234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EC36FBE-1E2B-0029-F794-FEC03B80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8852"/>
          <a:ext cx="9499023" cy="69022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16174</xdr:colOff>
      <xdr:row>1</xdr:row>
      <xdr:rowOff>77930</xdr:rowOff>
    </xdr:from>
    <xdr:to>
      <xdr:col>7</xdr:col>
      <xdr:colOff>39831</xdr:colOff>
      <xdr:row>6</xdr:row>
      <xdr:rowOff>146336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2ED6CDA-2F53-1A01-6377-04A8D0CD3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969" y="355021"/>
          <a:ext cx="802976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</xdr:row>
      <xdr:rowOff>106508</xdr:rowOff>
    </xdr:from>
    <xdr:to>
      <xdr:col>8</xdr:col>
      <xdr:colOff>97847</xdr:colOff>
      <xdr:row>5</xdr:row>
      <xdr:rowOff>167119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FBE7066-FE59-5CF6-64BC-385139A15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9114" y="478849"/>
          <a:ext cx="790574" cy="55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415638</xdr:colOff>
      <xdr:row>40</xdr:row>
      <xdr:rowOff>25977</xdr:rowOff>
    </xdr:from>
    <xdr:to>
      <xdr:col>7</xdr:col>
      <xdr:colOff>296142</xdr:colOff>
      <xdr:row>41</xdr:row>
      <xdr:rowOff>155863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FB1C3E8D-5E8B-E144-092E-2ACFF22D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661" y="7715250"/>
          <a:ext cx="3015095" cy="3203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727363</xdr:colOff>
      <xdr:row>40</xdr:row>
      <xdr:rowOff>25977</xdr:rowOff>
    </xdr:from>
    <xdr:to>
      <xdr:col>14</xdr:col>
      <xdr:colOff>19915</xdr:colOff>
      <xdr:row>41</xdr:row>
      <xdr:rowOff>140277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F6354E89-CE26-B225-A104-3BC89203B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431" y="7715250"/>
          <a:ext cx="3024620" cy="3048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277091</xdr:colOff>
      <xdr:row>26</xdr:row>
      <xdr:rowOff>8320</xdr:rowOff>
    </xdr:from>
    <xdr:to>
      <xdr:col>13</xdr:col>
      <xdr:colOff>588818</xdr:colOff>
      <xdr:row>35</xdr:row>
      <xdr:rowOff>13275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9626A86-79A4-4730-8315-9C22AC6CF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astelsSmooth/>
                  </a14:imgEffect>
                  <a14:imgEffect>
                    <a14:colorTemperature colorTemp="7200"/>
                  </a14:imgEffect>
                  <a14:imgEffect>
                    <a14:saturation sa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940136" y="5134502"/>
          <a:ext cx="2476500" cy="172811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10</xdr:col>
      <xdr:colOff>91785</xdr:colOff>
      <xdr:row>2</xdr:row>
      <xdr:rowOff>81409</xdr:rowOff>
    </xdr:from>
    <xdr:to>
      <xdr:col>10</xdr:col>
      <xdr:colOff>596610</xdr:colOff>
      <xdr:row>6</xdr:row>
      <xdr:rowOff>106320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8D432BD0-BCB8-4A03-8904-732783E6B234}"/>
            </a:ext>
          </a:extLst>
        </xdr:cNvPr>
        <xdr:cNvGrpSpPr/>
      </xdr:nvGrpSpPr>
      <xdr:grpSpPr>
        <a:xfrm>
          <a:off x="5754830" y="592295"/>
          <a:ext cx="504825" cy="708980"/>
          <a:chOff x="5848350" y="410639"/>
          <a:chExt cx="504825" cy="708980"/>
        </a:xfrm>
      </xdr:grpSpPr>
      <xdr:pic>
        <xdr:nvPicPr>
          <xdr:cNvPr id="25" name="Imagem 24">
            <a:extLst>
              <a:ext uri="{FF2B5EF4-FFF2-40B4-BE49-F238E27FC236}">
                <a16:creationId xmlns:a16="http://schemas.microsoft.com/office/drawing/2014/main" id="{698811C4-E546-4C8F-635D-F7959687454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763064"/>
            <a:ext cx="504825" cy="3565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Imagem 25">
            <a:extLst>
              <a:ext uri="{FF2B5EF4-FFF2-40B4-BE49-F238E27FC236}">
                <a16:creationId xmlns:a16="http://schemas.microsoft.com/office/drawing/2014/main" id="{414CCE1F-BF84-5143-F8DA-68B5396534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410639"/>
            <a:ext cx="504825" cy="3565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104536</xdr:colOff>
      <xdr:row>1</xdr:row>
      <xdr:rowOff>69952</xdr:rowOff>
    </xdr:from>
    <xdr:to>
      <xdr:col>9</xdr:col>
      <xdr:colOff>40697</xdr:colOff>
      <xdr:row>6</xdr:row>
      <xdr:rowOff>162993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AF9589BB-43DB-4761-998B-22B877A2EE6D}"/>
            </a:ext>
          </a:extLst>
        </xdr:cNvPr>
        <xdr:cNvGrpSpPr/>
      </xdr:nvGrpSpPr>
      <xdr:grpSpPr>
        <a:xfrm>
          <a:off x="4286877" y="485588"/>
          <a:ext cx="628888" cy="872360"/>
          <a:chOff x="6509667" y="378402"/>
          <a:chExt cx="628888" cy="872360"/>
        </a:xfrm>
      </xdr:grpSpPr>
      <xdr:pic>
        <xdr:nvPicPr>
          <xdr:cNvPr id="28" name="Imagem 27">
            <a:extLst>
              <a:ext uri="{FF2B5EF4-FFF2-40B4-BE49-F238E27FC236}">
                <a16:creationId xmlns:a16="http://schemas.microsoft.com/office/drawing/2014/main" id="{60BE81EB-A041-5B96-50E1-3B27194096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09667" y="378402"/>
            <a:ext cx="609838" cy="4627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Imagem 30">
            <a:extLst>
              <a:ext uri="{FF2B5EF4-FFF2-40B4-BE49-F238E27FC236}">
                <a16:creationId xmlns:a16="http://schemas.microsoft.com/office/drawing/2014/main" id="{4455E87A-2BBA-ACCC-FA36-F3D2224A47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28717" y="787977"/>
            <a:ext cx="609838" cy="4627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41</xdr:row>
      <xdr:rowOff>173182</xdr:rowOff>
    </xdr:from>
    <xdr:to>
      <xdr:col>8</xdr:col>
      <xdr:colOff>70376</xdr:colOff>
      <xdr:row>58</xdr:row>
      <xdr:rowOff>122093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E7086FE-A878-5113-D98E-DB16FCDA9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5523"/>
          <a:ext cx="4252717" cy="31874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320386</xdr:colOff>
      <xdr:row>41</xdr:row>
      <xdr:rowOff>173183</xdr:rowOff>
    </xdr:from>
    <xdr:to>
      <xdr:col>14</xdr:col>
      <xdr:colOff>893697</xdr:colOff>
      <xdr:row>58</xdr:row>
      <xdr:rowOff>129887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857D83CD-35C0-9D16-014E-0CEFB4F6A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7" y="8165524"/>
          <a:ext cx="4998106" cy="319520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251114</xdr:colOff>
      <xdr:row>60</xdr:row>
      <xdr:rowOff>60613</xdr:rowOff>
    </xdr:from>
    <xdr:to>
      <xdr:col>14</xdr:col>
      <xdr:colOff>125478</xdr:colOff>
      <xdr:row>73</xdr:row>
      <xdr:rowOff>181840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3824D975-E4D7-989F-8A21-D5E83626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7" y="11672454"/>
          <a:ext cx="8126477" cy="2597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597478</xdr:colOff>
      <xdr:row>26</xdr:row>
      <xdr:rowOff>121226</xdr:rowOff>
    </xdr:from>
    <xdr:to>
      <xdr:col>15</xdr:col>
      <xdr:colOff>3960</xdr:colOff>
      <xdr:row>34</xdr:row>
      <xdr:rowOff>147204</xdr:rowOff>
    </xdr:to>
    <xdr:pic>
      <xdr:nvPicPr>
        <xdr:cNvPr id="1027" name="Imagem 10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1948B86-BC9E-B04A-7BD6-CD4E831C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296" y="5247408"/>
          <a:ext cx="1095005" cy="1558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57150</xdr:colOff>
      <xdr:row>9</xdr:row>
      <xdr:rowOff>9412</xdr:rowOff>
    </xdr:to>
    <xdr:pic>
      <xdr:nvPicPr>
        <xdr:cNvPr id="3102" name="Imagem 3101">
          <a:extLst>
            <a:ext uri="{FF2B5EF4-FFF2-40B4-BE49-F238E27FC236}">
              <a16:creationId xmlns:a16="http://schemas.microsoft.com/office/drawing/2014/main" id="{E97E5FCE-272E-478F-8BE1-45D1548CD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astelsSmooth/>
                  </a14:imgEffect>
                  <a14:imgEffect>
                    <a14:colorTemperature colorTemp="7200"/>
                  </a14:imgEffect>
                  <a14:imgEffect>
                    <a14:saturation sa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2507673" cy="183648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26</xdr:row>
      <xdr:rowOff>163167</xdr:rowOff>
    </xdr:from>
    <xdr:to>
      <xdr:col>7</xdr:col>
      <xdr:colOff>480580</xdr:colOff>
      <xdr:row>32</xdr:row>
      <xdr:rowOff>56284</xdr:rowOff>
    </xdr:to>
    <xdr:pic>
      <xdr:nvPicPr>
        <xdr:cNvPr id="3103" name="Imagem 3102">
          <a:extLst>
            <a:ext uri="{FF2B5EF4-FFF2-40B4-BE49-F238E27FC236}">
              <a16:creationId xmlns:a16="http://schemas.microsoft.com/office/drawing/2014/main" id="{B054F6D3-181A-4264-B1D9-FA6D6C87F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5742"/>
          <a:ext cx="4419600" cy="103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74467</xdr:colOff>
      <xdr:row>3</xdr:row>
      <xdr:rowOff>43714</xdr:rowOff>
    </xdr:from>
    <xdr:to>
      <xdr:col>10</xdr:col>
      <xdr:colOff>811356</xdr:colOff>
      <xdr:row>5</xdr:row>
      <xdr:rowOff>62344</xdr:rowOff>
    </xdr:to>
    <xdr:pic>
      <xdr:nvPicPr>
        <xdr:cNvPr id="3104" name="Imagem 3103">
          <a:extLst>
            <a:ext uri="{FF2B5EF4-FFF2-40B4-BE49-F238E27FC236}">
              <a16:creationId xmlns:a16="http://schemas.microsoft.com/office/drawing/2014/main" id="{CF56B917-8337-41CE-BF6C-7E16E226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3535" y="701805"/>
          <a:ext cx="736889" cy="3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11</xdr:row>
          <xdr:rowOff>47625</xdr:rowOff>
        </xdr:from>
        <xdr:to>
          <xdr:col>1</xdr:col>
          <xdr:colOff>581025</xdr:colOff>
          <xdr:row>15</xdr:row>
          <xdr:rowOff>28575</xdr:rowOff>
        </xdr:to>
        <xdr:sp macro="" textlink="">
          <xdr:nvSpPr>
            <xdr:cNvPr id="3083" name="Spinner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20</xdr:row>
          <xdr:rowOff>85725</xdr:rowOff>
        </xdr:from>
        <xdr:to>
          <xdr:col>1</xdr:col>
          <xdr:colOff>581025</xdr:colOff>
          <xdr:row>24</xdr:row>
          <xdr:rowOff>19050</xdr:rowOff>
        </xdr:to>
        <xdr:sp macro="" textlink="">
          <xdr:nvSpPr>
            <xdr:cNvPr id="3084" name="Spinner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16174</xdr:colOff>
      <xdr:row>1</xdr:row>
      <xdr:rowOff>173180</xdr:rowOff>
    </xdr:from>
    <xdr:to>
      <xdr:col>6</xdr:col>
      <xdr:colOff>820881</xdr:colOff>
      <xdr:row>6</xdr:row>
      <xdr:rowOff>70136</xdr:rowOff>
    </xdr:to>
    <xdr:pic>
      <xdr:nvPicPr>
        <xdr:cNvPr id="3108" name="Imagem 3107">
          <a:extLst>
            <a:ext uri="{FF2B5EF4-FFF2-40B4-BE49-F238E27FC236}">
              <a16:creationId xmlns:a16="http://schemas.microsoft.com/office/drawing/2014/main" id="{470FE0BC-12BE-4B43-9CE0-145D64D0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7469" y="450271"/>
          <a:ext cx="804707" cy="849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8659</xdr:colOff>
      <xdr:row>2</xdr:row>
      <xdr:rowOff>121228</xdr:rowOff>
    </xdr:from>
    <xdr:to>
      <xdr:col>8</xdr:col>
      <xdr:colOff>30305</xdr:colOff>
      <xdr:row>5</xdr:row>
      <xdr:rowOff>105639</xdr:rowOff>
    </xdr:to>
    <xdr:pic>
      <xdr:nvPicPr>
        <xdr:cNvPr id="3109" name="Imagem 3108">
          <a:extLst>
            <a:ext uri="{FF2B5EF4-FFF2-40B4-BE49-F238E27FC236}">
              <a16:creationId xmlns:a16="http://schemas.microsoft.com/office/drawing/2014/main" id="{55E3C667-06F6-444C-A422-646B2B135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204" y="588819"/>
          <a:ext cx="792306" cy="55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265834</xdr:colOff>
      <xdr:row>25</xdr:row>
      <xdr:rowOff>130413</xdr:rowOff>
    </xdr:from>
    <xdr:to>
      <xdr:col>10</xdr:col>
      <xdr:colOff>277956</xdr:colOff>
      <xdr:row>34</xdr:row>
      <xdr:rowOff>154418</xdr:rowOff>
    </xdr:to>
    <xdr:pic>
      <xdr:nvPicPr>
        <xdr:cNvPr id="3111" name="Imagem 3110">
          <a:extLst>
            <a:ext uri="{FF2B5EF4-FFF2-40B4-BE49-F238E27FC236}">
              <a16:creationId xmlns:a16="http://schemas.microsoft.com/office/drawing/2014/main" id="{43BBAE28-F529-4E13-8996-A7ADA9B54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astelsSmooth/>
                  </a14:imgEffect>
                  <a14:imgEffect>
                    <a14:colorTemperature colorTemp="7200"/>
                  </a14:imgEffect>
                  <a14:imgEffect>
                    <a14:saturation sa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52059" y="5597763"/>
          <a:ext cx="2464377" cy="176708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10</xdr:col>
      <xdr:colOff>606366</xdr:colOff>
      <xdr:row>26</xdr:row>
      <xdr:rowOff>58016</xdr:rowOff>
    </xdr:from>
    <xdr:to>
      <xdr:col>11</xdr:col>
      <xdr:colOff>813395</xdr:colOff>
      <xdr:row>34</xdr:row>
      <xdr:rowOff>96116</xdr:rowOff>
    </xdr:to>
    <xdr:pic>
      <xdr:nvPicPr>
        <xdr:cNvPr id="3112" name="Imagem 3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48FDF8-C670-42F4-B9AC-C3020300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2639" y="5729721"/>
          <a:ext cx="1046961" cy="15707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158461</xdr:colOff>
      <xdr:row>2</xdr:row>
      <xdr:rowOff>85923</xdr:rowOff>
    </xdr:from>
    <xdr:to>
      <xdr:col>11</xdr:col>
      <xdr:colOff>663286</xdr:colOff>
      <xdr:row>6</xdr:row>
      <xdr:rowOff>32903</xdr:rowOff>
    </xdr:to>
    <xdr:grpSp>
      <xdr:nvGrpSpPr>
        <xdr:cNvPr id="3119" name="Agrupar 3118">
          <a:extLst>
            <a:ext uri="{FF2B5EF4-FFF2-40B4-BE49-F238E27FC236}">
              <a16:creationId xmlns:a16="http://schemas.microsoft.com/office/drawing/2014/main" id="{993FD383-979E-FFCA-5CF4-85125540182C}"/>
            </a:ext>
          </a:extLst>
        </xdr:cNvPr>
        <xdr:cNvGrpSpPr/>
      </xdr:nvGrpSpPr>
      <xdr:grpSpPr>
        <a:xfrm>
          <a:off x="7397461" y="553514"/>
          <a:ext cx="504825" cy="708980"/>
          <a:chOff x="5848350" y="410639"/>
          <a:chExt cx="504825" cy="708980"/>
        </a:xfrm>
      </xdr:grpSpPr>
      <xdr:pic>
        <xdr:nvPicPr>
          <xdr:cNvPr id="3105" name="Imagem 3104">
            <a:extLst>
              <a:ext uri="{FF2B5EF4-FFF2-40B4-BE49-F238E27FC236}">
                <a16:creationId xmlns:a16="http://schemas.microsoft.com/office/drawing/2014/main" id="{D54580B6-547B-4F4E-ABD1-C28A006472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763064"/>
            <a:ext cx="504825" cy="3565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16" name="Imagem 3115">
            <a:extLst>
              <a:ext uri="{FF2B5EF4-FFF2-40B4-BE49-F238E27FC236}">
                <a16:creationId xmlns:a16="http://schemas.microsoft.com/office/drawing/2014/main" id="{58AB47FF-C520-5A1B-3534-C794E14E2D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410639"/>
            <a:ext cx="504825" cy="3565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113197</xdr:colOff>
      <xdr:row>2</xdr:row>
      <xdr:rowOff>9525</xdr:rowOff>
    </xdr:from>
    <xdr:to>
      <xdr:col>9</xdr:col>
      <xdr:colOff>742085</xdr:colOff>
      <xdr:row>6</xdr:row>
      <xdr:rowOff>119885</xdr:rowOff>
    </xdr:to>
    <xdr:grpSp>
      <xdr:nvGrpSpPr>
        <xdr:cNvPr id="3121" name="Agrupar 3120">
          <a:extLst>
            <a:ext uri="{FF2B5EF4-FFF2-40B4-BE49-F238E27FC236}">
              <a16:creationId xmlns:a16="http://schemas.microsoft.com/office/drawing/2014/main" id="{A3C4F2EB-CEF3-5CF2-0F25-ACA6B8177E83}"/>
            </a:ext>
          </a:extLst>
        </xdr:cNvPr>
        <xdr:cNvGrpSpPr/>
      </xdr:nvGrpSpPr>
      <xdr:grpSpPr>
        <a:xfrm>
          <a:off x="5672333" y="477116"/>
          <a:ext cx="628888" cy="872360"/>
          <a:chOff x="6509667" y="378402"/>
          <a:chExt cx="628888" cy="872360"/>
        </a:xfrm>
      </xdr:grpSpPr>
      <xdr:pic>
        <xdr:nvPicPr>
          <xdr:cNvPr id="3110" name="Imagem 3109">
            <a:extLst>
              <a:ext uri="{FF2B5EF4-FFF2-40B4-BE49-F238E27FC236}">
                <a16:creationId xmlns:a16="http://schemas.microsoft.com/office/drawing/2014/main" id="{6FDEAE81-7897-47AD-8DA7-386DFB17B4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09667" y="378402"/>
            <a:ext cx="609838" cy="4627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17" name="Imagem 3116">
            <a:extLst>
              <a:ext uri="{FF2B5EF4-FFF2-40B4-BE49-F238E27FC236}">
                <a16:creationId xmlns:a16="http://schemas.microsoft.com/office/drawing/2014/main" id="{4F1E2988-CAF7-476C-1218-D7E42D28E9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28717" y="787977"/>
            <a:ext cx="609838" cy="4627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95251</xdr:colOff>
      <xdr:row>1</xdr:row>
      <xdr:rowOff>151719</xdr:rowOff>
    </xdr:from>
    <xdr:to>
      <xdr:col>8</xdr:col>
      <xdr:colOff>828675</xdr:colOff>
      <xdr:row>7</xdr:row>
      <xdr:rowOff>866</xdr:rowOff>
    </xdr:to>
    <xdr:grpSp>
      <xdr:nvGrpSpPr>
        <xdr:cNvPr id="3120" name="Agrupar 3119">
          <a:extLst>
            <a:ext uri="{FF2B5EF4-FFF2-40B4-BE49-F238E27FC236}">
              <a16:creationId xmlns:a16="http://schemas.microsoft.com/office/drawing/2014/main" id="{841E7BCF-C8CD-F398-F3E5-A3EC062BC7D5}"/>
            </a:ext>
          </a:extLst>
        </xdr:cNvPr>
        <xdr:cNvGrpSpPr/>
      </xdr:nvGrpSpPr>
      <xdr:grpSpPr>
        <a:xfrm>
          <a:off x="4814456" y="428810"/>
          <a:ext cx="733424" cy="992147"/>
          <a:chOff x="5038726" y="331828"/>
          <a:chExt cx="733424" cy="992147"/>
        </a:xfrm>
      </xdr:grpSpPr>
      <xdr:pic>
        <xdr:nvPicPr>
          <xdr:cNvPr id="3113" name="Imagem 3112">
            <a:extLst>
              <a:ext uri="{FF2B5EF4-FFF2-40B4-BE49-F238E27FC236}">
                <a16:creationId xmlns:a16="http://schemas.microsoft.com/office/drawing/2014/main" id="{9298DCD0-FB7A-4F41-A260-41649BA247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38726" y="331828"/>
            <a:ext cx="676274" cy="506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18" name="Imagem 3117">
            <a:extLst>
              <a:ext uri="{FF2B5EF4-FFF2-40B4-BE49-F238E27FC236}">
                <a16:creationId xmlns:a16="http://schemas.microsoft.com/office/drawing/2014/main" id="{BA39A3AA-8490-1631-483C-01263E2AE6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95876" y="817603"/>
            <a:ext cx="676274" cy="506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45</xdr:row>
      <xdr:rowOff>47625</xdr:rowOff>
    </xdr:from>
    <xdr:to>
      <xdr:col>9</xdr:col>
      <xdr:colOff>671080</xdr:colOff>
      <xdr:row>63</xdr:row>
      <xdr:rowOff>0</xdr:rowOff>
    </xdr:to>
    <xdr:pic>
      <xdr:nvPicPr>
        <xdr:cNvPr id="3123" name="Imagem 3122">
          <a:extLst>
            <a:ext uri="{FF2B5EF4-FFF2-40B4-BE49-F238E27FC236}">
              <a16:creationId xmlns:a16="http://schemas.microsoft.com/office/drawing/2014/main" id="{EDB3263E-2C08-D04D-EAF3-BC2174A78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621982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63</xdr:row>
      <xdr:rowOff>95250</xdr:rowOff>
    </xdr:from>
    <xdr:to>
      <xdr:col>9</xdr:col>
      <xdr:colOff>648594</xdr:colOff>
      <xdr:row>100</xdr:row>
      <xdr:rowOff>152400</xdr:rowOff>
    </xdr:to>
    <xdr:pic>
      <xdr:nvPicPr>
        <xdr:cNvPr id="3125" name="Imagem 3124">
          <a:extLst>
            <a:ext uri="{FF2B5EF4-FFF2-40B4-BE49-F238E27FC236}">
              <a16:creationId xmlns:a16="http://schemas.microsoft.com/office/drawing/2014/main" id="{382689A4-BE5A-0D49-2642-0E76F20CA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830175"/>
          <a:ext cx="6197338" cy="710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25</xdr:row>
      <xdr:rowOff>9525</xdr:rowOff>
    </xdr:from>
    <xdr:to>
      <xdr:col>8</xdr:col>
      <xdr:colOff>476250</xdr:colOff>
      <xdr:row>42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A8BB1A-9AB5-46DB-BD2F-CAB0E44DC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762000</xdr:colOff>
      <xdr:row>25</xdr:row>
      <xdr:rowOff>9525</xdr:rowOff>
    </xdr:from>
    <xdr:to>
      <xdr:col>17</xdr:col>
      <xdr:colOff>76200</xdr:colOff>
      <xdr:row>42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AE0883-C27C-45C5-87C8-11AC8CBD7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428625</xdr:colOff>
      <xdr:row>25</xdr:row>
      <xdr:rowOff>19050</xdr:rowOff>
    </xdr:from>
    <xdr:to>
      <xdr:col>26</xdr:col>
      <xdr:colOff>123825</xdr:colOff>
      <xdr:row>42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4C8A53-574E-4C87-ADC0-CF576C79D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100012</xdr:colOff>
      <xdr:row>43</xdr:row>
      <xdr:rowOff>104775</xdr:rowOff>
    </xdr:from>
    <xdr:to>
      <xdr:col>8</xdr:col>
      <xdr:colOff>404812</xdr:colOff>
      <xdr:row>60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EAFF239-1BB2-475B-AA47-2A7463E27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719137</xdr:colOff>
      <xdr:row>43</xdr:row>
      <xdr:rowOff>57150</xdr:rowOff>
    </xdr:from>
    <xdr:to>
      <xdr:col>18</xdr:col>
      <xdr:colOff>90487</xdr:colOff>
      <xdr:row>60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6CBB45-0610-4429-8D38-E983574A5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566737</xdr:colOff>
      <xdr:row>43</xdr:row>
      <xdr:rowOff>28575</xdr:rowOff>
    </xdr:from>
    <xdr:to>
      <xdr:col>26</xdr:col>
      <xdr:colOff>261937</xdr:colOff>
      <xdr:row>60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5E5C44B-6525-4981-917A-07C67D7B3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852487</xdr:colOff>
      <xdr:row>2</xdr:row>
      <xdr:rowOff>9525</xdr:rowOff>
    </xdr:from>
    <xdr:to>
      <xdr:col>17</xdr:col>
      <xdr:colOff>238125</xdr:colOff>
      <xdr:row>21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A675A9D-3D53-451E-9A68-FCD701BC5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81</xdr:row>
      <xdr:rowOff>85725</xdr:rowOff>
    </xdr:from>
    <xdr:to>
      <xdr:col>7</xdr:col>
      <xdr:colOff>342900</xdr:colOff>
      <xdr:row>98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0AFBD72-B84D-4F9A-A47D-E83DF7661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261937</xdr:colOff>
      <xdr:row>81</xdr:row>
      <xdr:rowOff>104775</xdr:rowOff>
    </xdr:from>
    <xdr:to>
      <xdr:col>15</xdr:col>
      <xdr:colOff>242887</xdr:colOff>
      <xdr:row>98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0256FE6-C6FA-42E5-BC31-10CB3EC48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471487</xdr:colOff>
      <xdr:row>81</xdr:row>
      <xdr:rowOff>123825</xdr:rowOff>
    </xdr:from>
    <xdr:to>
      <xdr:col>24</xdr:col>
      <xdr:colOff>166687</xdr:colOff>
      <xdr:row>98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8B9ADF9-4F7A-4A5C-91F3-0544BDDC4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102</xdr:row>
      <xdr:rowOff>76200</xdr:rowOff>
    </xdr:from>
    <xdr:to>
      <xdr:col>7</xdr:col>
      <xdr:colOff>304800</xdr:colOff>
      <xdr:row>119</xdr:row>
      <xdr:rowOff>66675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6E0DC0C-8B80-4871-87DE-A6D08893C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404812</xdr:colOff>
      <xdr:row>102</xdr:row>
      <xdr:rowOff>85725</xdr:rowOff>
    </xdr:from>
    <xdr:to>
      <xdr:col>15</xdr:col>
      <xdr:colOff>385762</xdr:colOff>
      <xdr:row>119</xdr:row>
      <xdr:rowOff>76200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145D495-63CA-4A3C-B778-E9668FA1E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252412</xdr:colOff>
      <xdr:row>102</xdr:row>
      <xdr:rowOff>66675</xdr:rowOff>
    </xdr:from>
    <xdr:to>
      <xdr:col>24</xdr:col>
      <xdr:colOff>557212</xdr:colOff>
      <xdr:row>119</xdr:row>
      <xdr:rowOff>57150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EB10A29-7295-48E8-9CDE-B3430651F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509587</xdr:colOff>
      <xdr:row>62</xdr:row>
      <xdr:rowOff>19050</xdr:rowOff>
    </xdr:from>
    <xdr:to>
      <xdr:col>16</xdr:col>
      <xdr:colOff>490537</xdr:colOff>
      <xdr:row>79</xdr:row>
      <xdr:rowOff>9525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BAB61F4-4C84-4E8A-87DE-4A8A892AD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19</xdr:col>
      <xdr:colOff>98714</xdr:colOff>
      <xdr:row>3</xdr:row>
      <xdr:rowOff>70547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93CBB37B-A404-48DA-BAEE-80F56F409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3234" y="0"/>
          <a:ext cx="704850" cy="6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142874</xdr:rowOff>
    </xdr:from>
    <xdr:to>
      <xdr:col>19</xdr:col>
      <xdr:colOff>98808</xdr:colOff>
      <xdr:row>2</xdr:row>
      <xdr:rowOff>161924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4BB9B21D-9516-475C-A4E9-8EBB85778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0821" y="142874"/>
          <a:ext cx="70494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138033</xdr:rowOff>
    </xdr:from>
    <xdr:to>
      <xdr:col>19</xdr:col>
      <xdr:colOff>31832</xdr:colOff>
      <xdr:row>2</xdr:row>
      <xdr:rowOff>152399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54071A6A-EC93-410A-8D08-97A56A151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408" y="138033"/>
          <a:ext cx="637968" cy="395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152819</xdr:rowOff>
    </xdr:from>
    <xdr:to>
      <xdr:col>19</xdr:col>
      <xdr:colOff>127289</xdr:colOff>
      <xdr:row>2</xdr:row>
      <xdr:rowOff>171449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BAF95040-E4A6-4F4C-9F70-E3E6822A3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4934" y="152819"/>
          <a:ext cx="733425" cy="3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129220</xdr:rowOff>
    </xdr:from>
    <xdr:to>
      <xdr:col>18</xdr:col>
      <xdr:colOff>504825</xdr:colOff>
      <xdr:row>2</xdr:row>
      <xdr:rowOff>104775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55E1ABFC-E6DB-45ED-8A11-877B0017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1318" y="129220"/>
          <a:ext cx="504825" cy="35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409575</xdr:colOff>
      <xdr:row>25</xdr:row>
      <xdr:rowOff>47625</xdr:rowOff>
    </xdr:from>
    <xdr:to>
      <xdr:col>33</xdr:col>
      <xdr:colOff>76200</xdr:colOff>
      <xdr:row>42</xdr:row>
      <xdr:rowOff>38100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81454809-0322-484D-B740-A6FBE2BF3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590550</xdr:colOff>
      <xdr:row>62</xdr:row>
      <xdr:rowOff>142875</xdr:rowOff>
    </xdr:from>
    <xdr:to>
      <xdr:col>25</xdr:col>
      <xdr:colOff>523875</xdr:colOff>
      <xdr:row>79</xdr:row>
      <xdr:rowOff>133350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55F9395F-D484-4F61-8631-7ED61ADA0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352425</xdr:colOff>
      <xdr:row>127</xdr:row>
      <xdr:rowOff>114300</xdr:rowOff>
    </xdr:from>
    <xdr:to>
      <xdr:col>13</xdr:col>
      <xdr:colOff>333375</xdr:colOff>
      <xdr:row>144</xdr:row>
      <xdr:rowOff>104775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F8EB7956-90FD-40A5-8992-39F75BF1F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490537</xdr:colOff>
      <xdr:row>152</xdr:row>
      <xdr:rowOff>19050</xdr:rowOff>
    </xdr:from>
    <xdr:to>
      <xdr:col>13</xdr:col>
      <xdr:colOff>471487</xdr:colOff>
      <xdr:row>169</xdr:row>
      <xdr:rowOff>9525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38509A0B-9272-4F82-83F8-EBF761AB1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404812</xdr:colOff>
      <xdr:row>151</xdr:row>
      <xdr:rowOff>142875</xdr:rowOff>
    </xdr:from>
    <xdr:to>
      <xdr:col>22</xdr:col>
      <xdr:colOff>14287</xdr:colOff>
      <xdr:row>168</xdr:row>
      <xdr:rowOff>133350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5B90F05-C1A4-425B-A654-5C7A21C97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27</xdr:col>
      <xdr:colOff>159327</xdr:colOff>
      <xdr:row>7</xdr:row>
      <xdr:rowOff>139411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4F0D560B-7179-4F94-82F8-10851B3EC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0275" y="0"/>
          <a:ext cx="6362700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311729</xdr:colOff>
      <xdr:row>8</xdr:row>
      <xdr:rowOff>129886</xdr:rowOff>
    </xdr:from>
    <xdr:to>
      <xdr:col>20</xdr:col>
      <xdr:colOff>434227</xdr:colOff>
      <xdr:row>17</xdr:row>
      <xdr:rowOff>187035</xdr:rowOff>
    </xdr:to>
    <xdr:pic>
      <xdr:nvPicPr>
        <xdr:cNvPr id="23" name="Imagem 22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E0CEB3AB-CB72-4CC0-A3F0-9DED84B2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1229" y="1653886"/>
          <a:ext cx="1395384" cy="19967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331274</xdr:colOff>
      <xdr:row>1</xdr:row>
      <xdr:rowOff>619259</xdr:rowOff>
    </xdr:from>
    <xdr:ext cx="94615" cy="61594"/>
    <xdr:sp macro="" textlink="">
      <xdr:nvSpPr>
        <xdr:cNvPr id="2" name="Shape 53">
          <a:extLst>
            <a:ext uri="{FF2B5EF4-FFF2-40B4-BE49-F238E27FC236}">
              <a16:creationId xmlns:a16="http://schemas.microsoft.com/office/drawing/2014/main" id="{F665B903-B4DF-4CFD-8D54-3DDBF38A137F}"/>
            </a:ext>
          </a:extLst>
        </xdr:cNvPr>
        <xdr:cNvSpPr/>
      </xdr:nvSpPr>
      <xdr:spPr>
        <a:xfrm>
          <a:off x="331274" y="409709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9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0</xdr:col>
      <xdr:colOff>331274</xdr:colOff>
      <xdr:row>1</xdr:row>
      <xdr:rowOff>1039893</xdr:rowOff>
    </xdr:from>
    <xdr:ext cx="94615" cy="61594"/>
    <xdr:sp macro="" textlink="">
      <xdr:nvSpPr>
        <xdr:cNvPr id="3" name="Shape 54">
          <a:extLst>
            <a:ext uri="{FF2B5EF4-FFF2-40B4-BE49-F238E27FC236}">
              <a16:creationId xmlns:a16="http://schemas.microsoft.com/office/drawing/2014/main" id="{0C0798F7-5BDC-49A2-BBD9-B90276756CF8}"/>
            </a:ext>
          </a:extLst>
        </xdr:cNvPr>
        <xdr:cNvSpPr/>
      </xdr:nvSpPr>
      <xdr:spPr>
        <a:xfrm>
          <a:off x="331274" y="411243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9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0</xdr:col>
      <xdr:colOff>331274</xdr:colOff>
      <xdr:row>1</xdr:row>
      <xdr:rowOff>1252580</xdr:rowOff>
    </xdr:from>
    <xdr:ext cx="94615" cy="61594"/>
    <xdr:sp macro="" textlink="">
      <xdr:nvSpPr>
        <xdr:cNvPr id="4" name="Shape 55">
          <a:extLst>
            <a:ext uri="{FF2B5EF4-FFF2-40B4-BE49-F238E27FC236}">
              <a16:creationId xmlns:a16="http://schemas.microsoft.com/office/drawing/2014/main" id="{A622EC2E-193F-46E1-A0CC-BC6794A4B50F}"/>
            </a:ext>
          </a:extLst>
        </xdr:cNvPr>
        <xdr:cNvSpPr/>
      </xdr:nvSpPr>
      <xdr:spPr>
        <a:xfrm>
          <a:off x="331274" y="404855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9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0</xdr:col>
      <xdr:colOff>331274</xdr:colOff>
      <xdr:row>1</xdr:row>
      <xdr:rowOff>1703164</xdr:rowOff>
    </xdr:from>
    <xdr:ext cx="94615" cy="61594"/>
    <xdr:sp macro="" textlink="">
      <xdr:nvSpPr>
        <xdr:cNvPr id="5" name="Shape 56">
          <a:extLst>
            <a:ext uri="{FF2B5EF4-FFF2-40B4-BE49-F238E27FC236}">
              <a16:creationId xmlns:a16="http://schemas.microsoft.com/office/drawing/2014/main" id="{85757652-472D-4139-854F-834211517B62}"/>
            </a:ext>
          </a:extLst>
        </xdr:cNvPr>
        <xdr:cNvSpPr/>
      </xdr:nvSpPr>
      <xdr:spPr>
        <a:xfrm>
          <a:off x="331274" y="407764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9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0</xdr:col>
      <xdr:colOff>331274</xdr:colOff>
      <xdr:row>1</xdr:row>
      <xdr:rowOff>1938929</xdr:rowOff>
    </xdr:from>
    <xdr:ext cx="94615" cy="61594"/>
    <xdr:sp macro="" textlink="">
      <xdr:nvSpPr>
        <xdr:cNvPr id="6" name="Shape 57">
          <a:extLst>
            <a:ext uri="{FF2B5EF4-FFF2-40B4-BE49-F238E27FC236}">
              <a16:creationId xmlns:a16="http://schemas.microsoft.com/office/drawing/2014/main" id="{B6608937-A8EF-43B0-B7A8-BAEC2F50C1B6}"/>
            </a:ext>
          </a:extLst>
        </xdr:cNvPr>
        <xdr:cNvSpPr/>
      </xdr:nvSpPr>
      <xdr:spPr>
        <a:xfrm>
          <a:off x="331274" y="405404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9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0</xdr:col>
      <xdr:colOff>331274</xdr:colOff>
      <xdr:row>1</xdr:row>
      <xdr:rowOff>2391836</xdr:rowOff>
    </xdr:from>
    <xdr:ext cx="94615" cy="61594"/>
    <xdr:sp macro="" textlink="">
      <xdr:nvSpPr>
        <xdr:cNvPr id="7" name="Shape 58">
          <a:extLst>
            <a:ext uri="{FF2B5EF4-FFF2-40B4-BE49-F238E27FC236}">
              <a16:creationId xmlns:a16="http://schemas.microsoft.com/office/drawing/2014/main" id="{D031ECB2-AE3F-4851-9BEC-E64AAE752160}"/>
            </a:ext>
          </a:extLst>
        </xdr:cNvPr>
        <xdr:cNvSpPr/>
      </xdr:nvSpPr>
      <xdr:spPr>
        <a:xfrm>
          <a:off x="331274" y="410636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9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0</xdr:col>
      <xdr:colOff>331274</xdr:colOff>
      <xdr:row>1</xdr:row>
      <xdr:rowOff>3430816</xdr:rowOff>
    </xdr:from>
    <xdr:ext cx="94615" cy="61594"/>
    <xdr:sp macro="" textlink="">
      <xdr:nvSpPr>
        <xdr:cNvPr id="8" name="Shape 59">
          <a:extLst>
            <a:ext uri="{FF2B5EF4-FFF2-40B4-BE49-F238E27FC236}">
              <a16:creationId xmlns:a16="http://schemas.microsoft.com/office/drawing/2014/main" id="{CBFCD5B2-56DF-4458-B6A1-8FF51281C239}"/>
            </a:ext>
          </a:extLst>
        </xdr:cNvPr>
        <xdr:cNvSpPr/>
      </xdr:nvSpPr>
      <xdr:spPr>
        <a:xfrm>
          <a:off x="331274" y="411391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9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0</xdr:col>
      <xdr:colOff>331274</xdr:colOff>
      <xdr:row>1</xdr:row>
      <xdr:rowOff>3067839</xdr:rowOff>
    </xdr:from>
    <xdr:ext cx="94615" cy="61594"/>
    <xdr:sp macro="" textlink="">
      <xdr:nvSpPr>
        <xdr:cNvPr id="9" name="Shape 60">
          <a:extLst>
            <a:ext uri="{FF2B5EF4-FFF2-40B4-BE49-F238E27FC236}">
              <a16:creationId xmlns:a16="http://schemas.microsoft.com/office/drawing/2014/main" id="{E429F545-35FB-49D3-AF9E-D594620FC630}"/>
            </a:ext>
          </a:extLst>
        </xdr:cNvPr>
        <xdr:cNvSpPr/>
      </xdr:nvSpPr>
      <xdr:spPr>
        <a:xfrm>
          <a:off x="331274" y="410364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9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0</xdr:col>
      <xdr:colOff>331274</xdr:colOff>
      <xdr:row>1</xdr:row>
      <xdr:rowOff>2729511</xdr:rowOff>
    </xdr:from>
    <xdr:ext cx="94615" cy="61594"/>
    <xdr:sp macro="" textlink="">
      <xdr:nvSpPr>
        <xdr:cNvPr id="10" name="Shape 61">
          <a:extLst>
            <a:ext uri="{FF2B5EF4-FFF2-40B4-BE49-F238E27FC236}">
              <a16:creationId xmlns:a16="http://schemas.microsoft.com/office/drawing/2014/main" id="{F8EFAFA7-90CA-4E02-A0F6-757EA81E6693}"/>
            </a:ext>
          </a:extLst>
        </xdr:cNvPr>
        <xdr:cNvSpPr/>
      </xdr:nvSpPr>
      <xdr:spPr>
        <a:xfrm>
          <a:off x="331274" y="405411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9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0</xdr:col>
      <xdr:colOff>389509</xdr:colOff>
      <xdr:row>18</xdr:row>
      <xdr:rowOff>127634</xdr:rowOff>
    </xdr:from>
    <xdr:ext cx="4264025" cy="416559"/>
    <xdr:grpSp>
      <xdr:nvGrpSpPr>
        <xdr:cNvPr id="11" name="Group 62">
          <a:extLst>
            <a:ext uri="{FF2B5EF4-FFF2-40B4-BE49-F238E27FC236}">
              <a16:creationId xmlns:a16="http://schemas.microsoft.com/office/drawing/2014/main" id="{284AE6A2-998B-41D0-A018-C7C7B7C6E415}"/>
            </a:ext>
          </a:extLst>
        </xdr:cNvPr>
        <xdr:cNvGrpSpPr/>
      </xdr:nvGrpSpPr>
      <xdr:grpSpPr>
        <a:xfrm>
          <a:off x="389509" y="4004309"/>
          <a:ext cx="4264025" cy="416559"/>
          <a:chOff x="0" y="0"/>
          <a:chExt cx="4264025" cy="416559"/>
        </a:xfrm>
      </xdr:grpSpPr>
      <xdr:sp macro="" textlink="">
        <xdr:nvSpPr>
          <xdr:cNvPr id="12" name="Shape 63">
            <a:extLst>
              <a:ext uri="{FF2B5EF4-FFF2-40B4-BE49-F238E27FC236}">
                <a16:creationId xmlns:a16="http://schemas.microsoft.com/office/drawing/2014/main" id="{64E8088A-6002-6460-0F2B-B91CB64820A6}"/>
              </a:ext>
            </a:extLst>
          </xdr:cNvPr>
          <xdr:cNvSpPr/>
        </xdr:nvSpPr>
        <xdr:spPr>
          <a:xfrm>
            <a:off x="0" y="0"/>
            <a:ext cx="4264025" cy="416559"/>
          </a:xfrm>
          <a:custGeom>
            <a:avLst/>
            <a:gdLst/>
            <a:ahLst/>
            <a:cxnLst/>
            <a:rect l="0" t="0" r="0" b="0"/>
            <a:pathLst>
              <a:path w="4264025" h="416559">
                <a:moveTo>
                  <a:pt x="4111244" y="0"/>
                </a:moveTo>
                <a:lnTo>
                  <a:pt x="152400" y="0"/>
                </a:lnTo>
                <a:lnTo>
                  <a:pt x="104231" y="7769"/>
                </a:lnTo>
                <a:lnTo>
                  <a:pt x="62396" y="29405"/>
                </a:lnTo>
                <a:lnTo>
                  <a:pt x="29405" y="62396"/>
                </a:lnTo>
                <a:lnTo>
                  <a:pt x="7769" y="104231"/>
                </a:lnTo>
                <a:lnTo>
                  <a:pt x="0" y="152400"/>
                </a:lnTo>
                <a:lnTo>
                  <a:pt x="0" y="264083"/>
                </a:lnTo>
                <a:lnTo>
                  <a:pt x="7769" y="312251"/>
                </a:lnTo>
                <a:lnTo>
                  <a:pt x="29405" y="354086"/>
                </a:lnTo>
                <a:lnTo>
                  <a:pt x="62396" y="387077"/>
                </a:lnTo>
                <a:lnTo>
                  <a:pt x="104231" y="408713"/>
                </a:lnTo>
                <a:lnTo>
                  <a:pt x="152400" y="416483"/>
                </a:lnTo>
                <a:lnTo>
                  <a:pt x="4111244" y="416483"/>
                </a:lnTo>
                <a:lnTo>
                  <a:pt x="4159412" y="408713"/>
                </a:lnTo>
                <a:lnTo>
                  <a:pt x="4201247" y="387077"/>
                </a:lnTo>
                <a:lnTo>
                  <a:pt x="4234238" y="354086"/>
                </a:lnTo>
                <a:lnTo>
                  <a:pt x="4255874" y="312251"/>
                </a:lnTo>
                <a:lnTo>
                  <a:pt x="4263644" y="264083"/>
                </a:lnTo>
                <a:lnTo>
                  <a:pt x="4263644" y="152400"/>
                </a:lnTo>
                <a:lnTo>
                  <a:pt x="4255874" y="104231"/>
                </a:lnTo>
                <a:lnTo>
                  <a:pt x="4234238" y="62396"/>
                </a:lnTo>
                <a:lnTo>
                  <a:pt x="4201247" y="29405"/>
                </a:lnTo>
                <a:lnTo>
                  <a:pt x="4159412" y="7769"/>
                </a:lnTo>
                <a:lnTo>
                  <a:pt x="4111244" y="0"/>
                </a:lnTo>
                <a:close/>
              </a:path>
            </a:pathLst>
          </a:custGeom>
          <a:solidFill>
            <a:srgbClr val="D91E39"/>
          </a:solidFill>
        </xdr:spPr>
      </xdr:sp>
      <xdr:sp macro="" textlink="">
        <xdr:nvSpPr>
          <xdr:cNvPr id="13" name="Textbox 64">
            <a:extLst>
              <a:ext uri="{FF2B5EF4-FFF2-40B4-BE49-F238E27FC236}">
                <a16:creationId xmlns:a16="http://schemas.microsoft.com/office/drawing/2014/main" id="{9364ADAE-D1BA-8DF0-DE2F-E86908260786}"/>
              </a:ext>
            </a:extLst>
          </xdr:cNvPr>
          <xdr:cNvSpPr txBox="1"/>
        </xdr:nvSpPr>
        <xdr:spPr>
          <a:xfrm>
            <a:off x="0" y="0"/>
            <a:ext cx="4264025" cy="416559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A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s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Hatche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d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Cob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b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50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0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Broile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r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Yiel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d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(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%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o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f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Liv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e </a:t>
            </a:r>
            <a:r>
              <a:rPr sz="900" b="1" spc="-25">
                <a:solidFill>
                  <a:srgbClr val="FFFFFF"/>
                </a:solidFill>
                <a:latin typeface="Calibri"/>
                <a:cs typeface="Calibri"/>
              </a:rPr>
              <a:t>W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eight)</a:t>
            </a:r>
          </a:p>
        </xdr:txBody>
      </xdr:sp>
    </xdr:grpSp>
    <xdr:clientData/>
  </xdr:oneCellAnchor>
  <xdr:twoCellAnchor>
    <xdr:from>
      <xdr:col>20</xdr:col>
      <xdr:colOff>300036</xdr:colOff>
      <xdr:row>1</xdr:row>
      <xdr:rowOff>28575</xdr:rowOff>
    </xdr:from>
    <xdr:to>
      <xdr:col>31</xdr:col>
      <xdr:colOff>495299</xdr:colOff>
      <xdr:row>1</xdr:row>
      <xdr:rowOff>2771775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20AEED9-3BA0-4121-ADF9-D34F3C296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309562</xdr:colOff>
      <xdr:row>1</xdr:row>
      <xdr:rowOff>2838450</xdr:rowOff>
    </xdr:from>
    <xdr:to>
      <xdr:col>31</xdr:col>
      <xdr:colOff>495300</xdr:colOff>
      <xdr:row>13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84B5CA0-DB65-4430-B4D9-A31302867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309562</xdr:colOff>
      <xdr:row>14</xdr:row>
      <xdr:rowOff>57150</xdr:rowOff>
    </xdr:from>
    <xdr:to>
      <xdr:col>31</xdr:col>
      <xdr:colOff>495300</xdr:colOff>
      <xdr:row>30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7FF3537-6D64-4AA3-82FD-8144DB77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66675</xdr:colOff>
      <xdr:row>31</xdr:row>
      <xdr:rowOff>152400</xdr:rowOff>
    </xdr:from>
    <xdr:to>
      <xdr:col>32</xdr:col>
      <xdr:colOff>276225</xdr:colOff>
      <xdr:row>48</xdr:row>
      <xdr:rowOff>142875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788B0FC-E073-4D7C-A6D7-F0E26DC2C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52387</xdr:colOff>
      <xdr:row>49</xdr:row>
      <xdr:rowOff>95250</xdr:rowOff>
    </xdr:from>
    <xdr:to>
      <xdr:col>32</xdr:col>
      <xdr:colOff>9525</xdr:colOff>
      <xdr:row>66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92702A79-87DF-4A99-A4C1-EAF38E30F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42861</xdr:colOff>
      <xdr:row>68</xdr:row>
      <xdr:rowOff>0</xdr:rowOff>
    </xdr:from>
    <xdr:to>
      <xdr:col>31</xdr:col>
      <xdr:colOff>504824</xdr:colOff>
      <xdr:row>84</xdr:row>
      <xdr:rowOff>152400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9BDE9041-FECE-4E53-9AC4-EA4EA7573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33</xdr:col>
      <xdr:colOff>395224</xdr:colOff>
      <xdr:row>37</xdr:row>
      <xdr:rowOff>0</xdr:rowOff>
    </xdr:from>
    <xdr:ext cx="4264025" cy="416559"/>
    <xdr:grpSp>
      <xdr:nvGrpSpPr>
        <xdr:cNvPr id="20" name="Group 65">
          <a:extLst>
            <a:ext uri="{FF2B5EF4-FFF2-40B4-BE49-F238E27FC236}">
              <a16:creationId xmlns:a16="http://schemas.microsoft.com/office/drawing/2014/main" id="{4C79AC75-0CAE-48A1-A2E1-494D401E43E4}"/>
            </a:ext>
          </a:extLst>
        </xdr:cNvPr>
        <xdr:cNvGrpSpPr/>
      </xdr:nvGrpSpPr>
      <xdr:grpSpPr>
        <a:xfrm>
          <a:off x="19359499" y="7591425"/>
          <a:ext cx="4264025" cy="416559"/>
          <a:chOff x="0" y="0"/>
          <a:chExt cx="4264025" cy="416559"/>
        </a:xfrm>
      </xdr:grpSpPr>
      <xdr:sp macro="" textlink="">
        <xdr:nvSpPr>
          <xdr:cNvPr id="21" name="Shape 66">
            <a:extLst>
              <a:ext uri="{FF2B5EF4-FFF2-40B4-BE49-F238E27FC236}">
                <a16:creationId xmlns:a16="http://schemas.microsoft.com/office/drawing/2014/main" id="{814E1067-C1E4-99B6-2654-DDD29355A2F6}"/>
              </a:ext>
            </a:extLst>
          </xdr:cNvPr>
          <xdr:cNvSpPr/>
        </xdr:nvSpPr>
        <xdr:spPr>
          <a:xfrm>
            <a:off x="0" y="0"/>
            <a:ext cx="4264025" cy="416559"/>
          </a:xfrm>
          <a:custGeom>
            <a:avLst/>
            <a:gdLst/>
            <a:ahLst/>
            <a:cxnLst/>
            <a:rect l="0" t="0" r="0" b="0"/>
            <a:pathLst>
              <a:path w="4264025" h="416559">
                <a:moveTo>
                  <a:pt x="4111244" y="0"/>
                </a:moveTo>
                <a:lnTo>
                  <a:pt x="152400" y="0"/>
                </a:lnTo>
                <a:lnTo>
                  <a:pt x="104231" y="7769"/>
                </a:lnTo>
                <a:lnTo>
                  <a:pt x="62396" y="29405"/>
                </a:lnTo>
                <a:lnTo>
                  <a:pt x="29405" y="62396"/>
                </a:lnTo>
                <a:lnTo>
                  <a:pt x="7769" y="104231"/>
                </a:lnTo>
                <a:lnTo>
                  <a:pt x="0" y="152400"/>
                </a:lnTo>
                <a:lnTo>
                  <a:pt x="0" y="264083"/>
                </a:lnTo>
                <a:lnTo>
                  <a:pt x="7769" y="312251"/>
                </a:lnTo>
                <a:lnTo>
                  <a:pt x="29405" y="354086"/>
                </a:lnTo>
                <a:lnTo>
                  <a:pt x="62396" y="387077"/>
                </a:lnTo>
                <a:lnTo>
                  <a:pt x="104231" y="408713"/>
                </a:lnTo>
                <a:lnTo>
                  <a:pt x="152400" y="416483"/>
                </a:lnTo>
                <a:lnTo>
                  <a:pt x="4111244" y="416483"/>
                </a:lnTo>
                <a:lnTo>
                  <a:pt x="4159412" y="408713"/>
                </a:lnTo>
                <a:lnTo>
                  <a:pt x="4201247" y="387077"/>
                </a:lnTo>
                <a:lnTo>
                  <a:pt x="4234238" y="354086"/>
                </a:lnTo>
                <a:lnTo>
                  <a:pt x="4255874" y="312251"/>
                </a:lnTo>
                <a:lnTo>
                  <a:pt x="4263644" y="264083"/>
                </a:lnTo>
                <a:lnTo>
                  <a:pt x="4263644" y="152400"/>
                </a:lnTo>
                <a:lnTo>
                  <a:pt x="4255874" y="104231"/>
                </a:lnTo>
                <a:lnTo>
                  <a:pt x="4234238" y="62396"/>
                </a:lnTo>
                <a:lnTo>
                  <a:pt x="4201247" y="29405"/>
                </a:lnTo>
                <a:lnTo>
                  <a:pt x="4159412" y="7769"/>
                </a:lnTo>
                <a:lnTo>
                  <a:pt x="4111244" y="0"/>
                </a:lnTo>
                <a:close/>
              </a:path>
            </a:pathLst>
          </a:custGeom>
          <a:solidFill>
            <a:srgbClr val="D91E39"/>
          </a:solidFill>
        </xdr:spPr>
      </xdr:sp>
      <xdr:sp macro="" textlink="">
        <xdr:nvSpPr>
          <xdr:cNvPr id="22" name="Textbox 67">
            <a:extLst>
              <a:ext uri="{FF2B5EF4-FFF2-40B4-BE49-F238E27FC236}">
                <a16:creationId xmlns:a16="http://schemas.microsoft.com/office/drawing/2014/main" id="{5E73AECA-878F-6B1D-9836-E6E512ADAA2D}"/>
              </a:ext>
            </a:extLst>
          </xdr:cNvPr>
          <xdr:cNvSpPr txBox="1"/>
        </xdr:nvSpPr>
        <xdr:spPr>
          <a:xfrm>
            <a:off x="0" y="0"/>
            <a:ext cx="4264025" cy="416559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Femal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e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Cob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b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50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0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Broile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r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Yiel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d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(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%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o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f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Liv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e </a:t>
            </a:r>
            <a:r>
              <a:rPr sz="900" b="1" spc="-25">
                <a:solidFill>
                  <a:srgbClr val="FFFFFF"/>
                </a:solidFill>
                <a:latin typeface="Calibri"/>
                <a:cs typeface="Calibri"/>
              </a:rPr>
              <a:t>W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eight)</a:t>
            </a:r>
          </a:p>
        </xdr:txBody>
      </xdr:sp>
    </xdr:grpSp>
    <xdr:clientData/>
  </xdr:oneCellAnchor>
  <xdr:oneCellAnchor>
    <xdr:from>
      <xdr:col>33</xdr:col>
      <xdr:colOff>378713</xdr:colOff>
      <xdr:row>38</xdr:row>
      <xdr:rowOff>0</xdr:rowOff>
    </xdr:from>
    <xdr:ext cx="4264025" cy="416559"/>
    <xdr:grpSp>
      <xdr:nvGrpSpPr>
        <xdr:cNvPr id="23" name="Group 68">
          <a:extLst>
            <a:ext uri="{FF2B5EF4-FFF2-40B4-BE49-F238E27FC236}">
              <a16:creationId xmlns:a16="http://schemas.microsoft.com/office/drawing/2014/main" id="{AD4E7B4F-C820-420A-9E82-81A842305FE7}"/>
            </a:ext>
          </a:extLst>
        </xdr:cNvPr>
        <xdr:cNvGrpSpPr/>
      </xdr:nvGrpSpPr>
      <xdr:grpSpPr>
        <a:xfrm>
          <a:off x="19342988" y="7781925"/>
          <a:ext cx="4264025" cy="416559"/>
          <a:chOff x="0" y="0"/>
          <a:chExt cx="4264025" cy="416559"/>
        </a:xfrm>
      </xdr:grpSpPr>
      <xdr:sp macro="" textlink="">
        <xdr:nvSpPr>
          <xdr:cNvPr id="24" name="Shape 69">
            <a:extLst>
              <a:ext uri="{FF2B5EF4-FFF2-40B4-BE49-F238E27FC236}">
                <a16:creationId xmlns:a16="http://schemas.microsoft.com/office/drawing/2014/main" id="{8E00FC8A-CEB3-9FEC-9291-1274B03B0934}"/>
              </a:ext>
            </a:extLst>
          </xdr:cNvPr>
          <xdr:cNvSpPr/>
        </xdr:nvSpPr>
        <xdr:spPr>
          <a:xfrm>
            <a:off x="0" y="0"/>
            <a:ext cx="4264025" cy="416559"/>
          </a:xfrm>
          <a:custGeom>
            <a:avLst/>
            <a:gdLst/>
            <a:ahLst/>
            <a:cxnLst/>
            <a:rect l="0" t="0" r="0" b="0"/>
            <a:pathLst>
              <a:path w="4264025" h="416559">
                <a:moveTo>
                  <a:pt x="4111244" y="0"/>
                </a:moveTo>
                <a:lnTo>
                  <a:pt x="152400" y="0"/>
                </a:lnTo>
                <a:lnTo>
                  <a:pt x="104231" y="7769"/>
                </a:lnTo>
                <a:lnTo>
                  <a:pt x="62396" y="29405"/>
                </a:lnTo>
                <a:lnTo>
                  <a:pt x="29405" y="62396"/>
                </a:lnTo>
                <a:lnTo>
                  <a:pt x="7769" y="104231"/>
                </a:lnTo>
                <a:lnTo>
                  <a:pt x="0" y="152400"/>
                </a:lnTo>
                <a:lnTo>
                  <a:pt x="0" y="264083"/>
                </a:lnTo>
                <a:lnTo>
                  <a:pt x="7769" y="312251"/>
                </a:lnTo>
                <a:lnTo>
                  <a:pt x="29405" y="354086"/>
                </a:lnTo>
                <a:lnTo>
                  <a:pt x="62396" y="387077"/>
                </a:lnTo>
                <a:lnTo>
                  <a:pt x="104231" y="408713"/>
                </a:lnTo>
                <a:lnTo>
                  <a:pt x="152400" y="416483"/>
                </a:lnTo>
                <a:lnTo>
                  <a:pt x="4111244" y="416483"/>
                </a:lnTo>
                <a:lnTo>
                  <a:pt x="4159412" y="408713"/>
                </a:lnTo>
                <a:lnTo>
                  <a:pt x="4201247" y="387077"/>
                </a:lnTo>
                <a:lnTo>
                  <a:pt x="4234238" y="354086"/>
                </a:lnTo>
                <a:lnTo>
                  <a:pt x="4255874" y="312251"/>
                </a:lnTo>
                <a:lnTo>
                  <a:pt x="4263644" y="264083"/>
                </a:lnTo>
                <a:lnTo>
                  <a:pt x="4263644" y="152400"/>
                </a:lnTo>
                <a:lnTo>
                  <a:pt x="4255874" y="104231"/>
                </a:lnTo>
                <a:lnTo>
                  <a:pt x="4234238" y="62396"/>
                </a:lnTo>
                <a:lnTo>
                  <a:pt x="4201247" y="29405"/>
                </a:lnTo>
                <a:lnTo>
                  <a:pt x="4159412" y="7769"/>
                </a:lnTo>
                <a:lnTo>
                  <a:pt x="4111244" y="0"/>
                </a:lnTo>
                <a:close/>
              </a:path>
            </a:pathLst>
          </a:custGeom>
          <a:solidFill>
            <a:srgbClr val="D91E39"/>
          </a:solidFill>
        </xdr:spPr>
      </xdr:sp>
      <xdr:sp macro="" textlink="">
        <xdr:nvSpPr>
          <xdr:cNvPr id="25" name="Textbox 70">
            <a:extLst>
              <a:ext uri="{FF2B5EF4-FFF2-40B4-BE49-F238E27FC236}">
                <a16:creationId xmlns:a16="http://schemas.microsoft.com/office/drawing/2014/main" id="{6B185036-3C62-BCAE-E18D-A381387D1E37}"/>
              </a:ext>
            </a:extLst>
          </xdr:cNvPr>
          <xdr:cNvSpPr txBox="1"/>
        </xdr:nvSpPr>
        <xdr:spPr>
          <a:xfrm>
            <a:off x="0" y="0"/>
            <a:ext cx="4264025" cy="416559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Mal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e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Cob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b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50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0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Broile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r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Yiel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d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(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%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o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f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Liv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e </a:t>
            </a:r>
            <a:r>
              <a:rPr sz="900" b="1" spc="-25">
                <a:solidFill>
                  <a:srgbClr val="FFFFFF"/>
                </a:solidFill>
                <a:latin typeface="Calibri"/>
                <a:cs typeface="Calibri"/>
              </a:rPr>
              <a:t>W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eight)</a:t>
            </a:r>
          </a:p>
        </xdr:txBody>
      </xdr:sp>
    </xdr:grpSp>
    <xdr:clientData/>
  </xdr:oneCellAnchor>
  <xdr:oneCellAnchor>
    <xdr:from>
      <xdr:col>33</xdr:col>
      <xdr:colOff>379549</xdr:colOff>
      <xdr:row>36</xdr:row>
      <xdr:rowOff>55445</xdr:rowOff>
    </xdr:from>
    <xdr:ext cx="94615" cy="61594"/>
    <xdr:sp macro="" textlink="">
      <xdr:nvSpPr>
        <xdr:cNvPr id="26" name="Shape 71">
          <a:extLst>
            <a:ext uri="{FF2B5EF4-FFF2-40B4-BE49-F238E27FC236}">
              <a16:creationId xmlns:a16="http://schemas.microsoft.com/office/drawing/2014/main" id="{59941FFE-8BF2-472C-8D2A-8B48C67D785F}"/>
            </a:ext>
          </a:extLst>
        </xdr:cNvPr>
        <xdr:cNvSpPr/>
      </xdr:nvSpPr>
      <xdr:spPr>
        <a:xfrm>
          <a:off x="17591224" y="6541970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8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33</xdr:col>
      <xdr:colOff>379549</xdr:colOff>
      <xdr:row>36</xdr:row>
      <xdr:rowOff>712071</xdr:rowOff>
    </xdr:from>
    <xdr:ext cx="94615" cy="61594"/>
    <xdr:sp macro="" textlink="">
      <xdr:nvSpPr>
        <xdr:cNvPr id="27" name="Shape 72">
          <a:extLst>
            <a:ext uri="{FF2B5EF4-FFF2-40B4-BE49-F238E27FC236}">
              <a16:creationId xmlns:a16="http://schemas.microsoft.com/office/drawing/2014/main" id="{4758B3BB-6D85-4910-8C33-B3AA00AC976D}"/>
            </a:ext>
          </a:extLst>
        </xdr:cNvPr>
        <xdr:cNvSpPr/>
      </xdr:nvSpPr>
      <xdr:spPr>
        <a:xfrm>
          <a:off x="17591224" y="6646146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8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33</xdr:col>
      <xdr:colOff>379549</xdr:colOff>
      <xdr:row>36</xdr:row>
      <xdr:rowOff>498053</xdr:rowOff>
    </xdr:from>
    <xdr:ext cx="94615" cy="61594"/>
    <xdr:sp macro="" textlink="">
      <xdr:nvSpPr>
        <xdr:cNvPr id="28" name="Shape 73">
          <a:extLst>
            <a:ext uri="{FF2B5EF4-FFF2-40B4-BE49-F238E27FC236}">
              <a16:creationId xmlns:a16="http://schemas.microsoft.com/office/drawing/2014/main" id="{99E7BF4B-B847-4F82-ADFE-5AC88C6D9E96}"/>
            </a:ext>
          </a:extLst>
        </xdr:cNvPr>
        <xdr:cNvSpPr/>
      </xdr:nvSpPr>
      <xdr:spPr>
        <a:xfrm>
          <a:off x="17591224" y="6651203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8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33</xdr:col>
      <xdr:colOff>379549</xdr:colOff>
      <xdr:row>36</xdr:row>
      <xdr:rowOff>273518</xdr:rowOff>
    </xdr:from>
    <xdr:ext cx="94615" cy="61594"/>
    <xdr:sp macro="" textlink="">
      <xdr:nvSpPr>
        <xdr:cNvPr id="29" name="Shape 74">
          <a:extLst>
            <a:ext uri="{FF2B5EF4-FFF2-40B4-BE49-F238E27FC236}">
              <a16:creationId xmlns:a16="http://schemas.microsoft.com/office/drawing/2014/main" id="{2BA0826A-4A39-4AFB-80DD-BA582BFD4A27}"/>
            </a:ext>
          </a:extLst>
        </xdr:cNvPr>
        <xdr:cNvSpPr/>
      </xdr:nvSpPr>
      <xdr:spPr>
        <a:xfrm>
          <a:off x="17591224" y="6645743"/>
          <a:ext cx="94615" cy="61594"/>
        </a:xfrm>
        <a:custGeom>
          <a:avLst/>
          <a:gdLst/>
          <a:ahLst/>
          <a:cxnLst/>
          <a:rect l="0" t="0" r="0" b="0"/>
          <a:pathLst>
            <a:path w="94615" h="61594">
              <a:moveTo>
                <a:pt x="85191" y="0"/>
              </a:moveTo>
              <a:lnTo>
                <a:pt x="84353" y="0"/>
              </a:lnTo>
              <a:lnTo>
                <a:pt x="34531" y="44068"/>
              </a:lnTo>
              <a:lnTo>
                <a:pt x="9906" y="22275"/>
              </a:lnTo>
              <a:lnTo>
                <a:pt x="9067" y="22275"/>
              </a:lnTo>
              <a:lnTo>
                <a:pt x="0" y="30289"/>
              </a:lnTo>
              <a:lnTo>
                <a:pt x="0" y="31026"/>
              </a:lnTo>
              <a:lnTo>
                <a:pt x="34112" y="61201"/>
              </a:lnTo>
              <a:lnTo>
                <a:pt x="34950" y="61201"/>
              </a:lnTo>
              <a:lnTo>
                <a:pt x="93738" y="9207"/>
              </a:lnTo>
              <a:lnTo>
                <a:pt x="94246" y="8750"/>
              </a:lnTo>
              <a:lnTo>
                <a:pt x="94246" y="8013"/>
              </a:lnTo>
              <a:lnTo>
                <a:pt x="85191" y="0"/>
              </a:lnTo>
              <a:close/>
            </a:path>
          </a:pathLst>
        </a:custGeom>
        <a:solidFill>
          <a:srgbClr val="D91E39"/>
        </a:solidFill>
      </xdr:spPr>
    </xdr:sp>
    <xdr:clientData/>
  </xdr:oneCellAnchor>
  <xdr:oneCellAnchor>
    <xdr:from>
      <xdr:col>34</xdr:col>
      <xdr:colOff>32639</xdr:colOff>
      <xdr:row>39</xdr:row>
      <xdr:rowOff>3174</xdr:rowOff>
    </xdr:from>
    <xdr:ext cx="3868420" cy="0"/>
    <xdr:sp macro="" textlink="">
      <xdr:nvSpPr>
        <xdr:cNvPr id="30" name="Shape 75">
          <a:extLst>
            <a:ext uri="{FF2B5EF4-FFF2-40B4-BE49-F238E27FC236}">
              <a16:creationId xmlns:a16="http://schemas.microsoft.com/office/drawing/2014/main" id="{34D2543C-0CCA-42ED-9D00-089CF72DC569}"/>
            </a:ext>
          </a:extLst>
        </xdr:cNvPr>
        <xdr:cNvSpPr/>
      </xdr:nvSpPr>
      <xdr:spPr>
        <a:xfrm>
          <a:off x="17815814" y="697547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40</xdr:row>
      <xdr:rowOff>3174</xdr:rowOff>
    </xdr:from>
    <xdr:ext cx="3868420" cy="0"/>
    <xdr:sp macro="" textlink="">
      <xdr:nvSpPr>
        <xdr:cNvPr id="31" name="Shape 76">
          <a:extLst>
            <a:ext uri="{FF2B5EF4-FFF2-40B4-BE49-F238E27FC236}">
              <a16:creationId xmlns:a16="http://schemas.microsoft.com/office/drawing/2014/main" id="{73AC6CB3-4A50-427A-93F8-D93BCE8013BC}"/>
            </a:ext>
          </a:extLst>
        </xdr:cNvPr>
        <xdr:cNvSpPr/>
      </xdr:nvSpPr>
      <xdr:spPr>
        <a:xfrm>
          <a:off x="17815814" y="713739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41</xdr:row>
      <xdr:rowOff>3174</xdr:rowOff>
    </xdr:from>
    <xdr:ext cx="3868420" cy="0"/>
    <xdr:sp macro="" textlink="">
      <xdr:nvSpPr>
        <xdr:cNvPr id="32" name="Shape 77">
          <a:extLst>
            <a:ext uri="{FF2B5EF4-FFF2-40B4-BE49-F238E27FC236}">
              <a16:creationId xmlns:a16="http://schemas.microsoft.com/office/drawing/2014/main" id="{479C195D-9A06-4A0C-A808-0395D5332806}"/>
            </a:ext>
          </a:extLst>
        </xdr:cNvPr>
        <xdr:cNvSpPr/>
      </xdr:nvSpPr>
      <xdr:spPr>
        <a:xfrm>
          <a:off x="17815814" y="729932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42</xdr:row>
      <xdr:rowOff>3174</xdr:rowOff>
    </xdr:from>
    <xdr:ext cx="3868420" cy="0"/>
    <xdr:sp macro="" textlink="">
      <xdr:nvSpPr>
        <xdr:cNvPr id="33" name="Shape 78">
          <a:extLst>
            <a:ext uri="{FF2B5EF4-FFF2-40B4-BE49-F238E27FC236}">
              <a16:creationId xmlns:a16="http://schemas.microsoft.com/office/drawing/2014/main" id="{A01A4613-25DD-4958-A1D4-B0DB5CF74250}"/>
            </a:ext>
          </a:extLst>
        </xdr:cNvPr>
        <xdr:cNvSpPr/>
      </xdr:nvSpPr>
      <xdr:spPr>
        <a:xfrm>
          <a:off x="17815814" y="746124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43</xdr:row>
      <xdr:rowOff>3174</xdr:rowOff>
    </xdr:from>
    <xdr:ext cx="3868420" cy="0"/>
    <xdr:sp macro="" textlink="">
      <xdr:nvSpPr>
        <xdr:cNvPr id="34" name="Shape 79">
          <a:extLst>
            <a:ext uri="{FF2B5EF4-FFF2-40B4-BE49-F238E27FC236}">
              <a16:creationId xmlns:a16="http://schemas.microsoft.com/office/drawing/2014/main" id="{AD239D39-D56F-4178-AFC8-C38BFD0D0C33}"/>
            </a:ext>
          </a:extLst>
        </xdr:cNvPr>
        <xdr:cNvSpPr/>
      </xdr:nvSpPr>
      <xdr:spPr>
        <a:xfrm>
          <a:off x="17815814" y="762317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44</xdr:row>
      <xdr:rowOff>3174</xdr:rowOff>
    </xdr:from>
    <xdr:ext cx="3868420" cy="0"/>
    <xdr:sp macro="" textlink="">
      <xdr:nvSpPr>
        <xdr:cNvPr id="35" name="Shape 80">
          <a:extLst>
            <a:ext uri="{FF2B5EF4-FFF2-40B4-BE49-F238E27FC236}">
              <a16:creationId xmlns:a16="http://schemas.microsoft.com/office/drawing/2014/main" id="{CE0D1629-0DC1-4527-BDD8-4AD8B109250B}"/>
            </a:ext>
          </a:extLst>
        </xdr:cNvPr>
        <xdr:cNvSpPr/>
      </xdr:nvSpPr>
      <xdr:spPr>
        <a:xfrm>
          <a:off x="17815814" y="778509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45</xdr:row>
      <xdr:rowOff>3174</xdr:rowOff>
    </xdr:from>
    <xdr:ext cx="3868420" cy="0"/>
    <xdr:sp macro="" textlink="">
      <xdr:nvSpPr>
        <xdr:cNvPr id="36" name="Shape 81">
          <a:extLst>
            <a:ext uri="{FF2B5EF4-FFF2-40B4-BE49-F238E27FC236}">
              <a16:creationId xmlns:a16="http://schemas.microsoft.com/office/drawing/2014/main" id="{D46D6860-7947-4D11-A5A3-A40B08433588}"/>
            </a:ext>
          </a:extLst>
        </xdr:cNvPr>
        <xdr:cNvSpPr/>
      </xdr:nvSpPr>
      <xdr:spPr>
        <a:xfrm>
          <a:off x="17815814" y="794702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46</xdr:row>
      <xdr:rowOff>3174</xdr:rowOff>
    </xdr:from>
    <xdr:ext cx="3868420" cy="0"/>
    <xdr:sp macro="" textlink="">
      <xdr:nvSpPr>
        <xdr:cNvPr id="37" name="Shape 82">
          <a:extLst>
            <a:ext uri="{FF2B5EF4-FFF2-40B4-BE49-F238E27FC236}">
              <a16:creationId xmlns:a16="http://schemas.microsoft.com/office/drawing/2014/main" id="{7DF29C29-4B1D-43FF-9D0A-30D4F40F0A7F}"/>
            </a:ext>
          </a:extLst>
        </xdr:cNvPr>
        <xdr:cNvSpPr/>
      </xdr:nvSpPr>
      <xdr:spPr>
        <a:xfrm>
          <a:off x="17815814" y="810894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47</xdr:row>
      <xdr:rowOff>3174</xdr:rowOff>
    </xdr:from>
    <xdr:ext cx="3868420" cy="0"/>
    <xdr:sp macro="" textlink="">
      <xdr:nvSpPr>
        <xdr:cNvPr id="38" name="Shape 83">
          <a:extLst>
            <a:ext uri="{FF2B5EF4-FFF2-40B4-BE49-F238E27FC236}">
              <a16:creationId xmlns:a16="http://schemas.microsoft.com/office/drawing/2014/main" id="{E8F70A64-E610-4894-BB85-10CE4EE264D7}"/>
            </a:ext>
          </a:extLst>
        </xdr:cNvPr>
        <xdr:cNvSpPr/>
      </xdr:nvSpPr>
      <xdr:spPr>
        <a:xfrm>
          <a:off x="17815814" y="827087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48</xdr:row>
      <xdr:rowOff>3174</xdr:rowOff>
    </xdr:from>
    <xdr:ext cx="3868420" cy="0"/>
    <xdr:sp macro="" textlink="">
      <xdr:nvSpPr>
        <xdr:cNvPr id="39" name="Shape 84">
          <a:extLst>
            <a:ext uri="{FF2B5EF4-FFF2-40B4-BE49-F238E27FC236}">
              <a16:creationId xmlns:a16="http://schemas.microsoft.com/office/drawing/2014/main" id="{207B81A8-68BF-43CF-9899-71CD0EF2B126}"/>
            </a:ext>
          </a:extLst>
        </xdr:cNvPr>
        <xdr:cNvSpPr/>
      </xdr:nvSpPr>
      <xdr:spPr>
        <a:xfrm>
          <a:off x="17815814" y="843279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49</xdr:row>
      <xdr:rowOff>3174</xdr:rowOff>
    </xdr:from>
    <xdr:ext cx="3868420" cy="0"/>
    <xdr:sp macro="" textlink="">
      <xdr:nvSpPr>
        <xdr:cNvPr id="40" name="Shape 85">
          <a:extLst>
            <a:ext uri="{FF2B5EF4-FFF2-40B4-BE49-F238E27FC236}">
              <a16:creationId xmlns:a16="http://schemas.microsoft.com/office/drawing/2014/main" id="{5533D184-A055-4DE0-8EB5-89A1379B8EBF}"/>
            </a:ext>
          </a:extLst>
        </xdr:cNvPr>
        <xdr:cNvSpPr/>
      </xdr:nvSpPr>
      <xdr:spPr>
        <a:xfrm>
          <a:off x="17815814" y="859472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50</xdr:row>
      <xdr:rowOff>3174</xdr:rowOff>
    </xdr:from>
    <xdr:ext cx="3868420" cy="0"/>
    <xdr:sp macro="" textlink="">
      <xdr:nvSpPr>
        <xdr:cNvPr id="41" name="Shape 86">
          <a:extLst>
            <a:ext uri="{FF2B5EF4-FFF2-40B4-BE49-F238E27FC236}">
              <a16:creationId xmlns:a16="http://schemas.microsoft.com/office/drawing/2014/main" id="{4FB8E543-FAB6-4512-AD80-9B82C656ECF4}"/>
            </a:ext>
          </a:extLst>
        </xdr:cNvPr>
        <xdr:cNvSpPr/>
      </xdr:nvSpPr>
      <xdr:spPr>
        <a:xfrm>
          <a:off x="17815814" y="875664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51</xdr:row>
      <xdr:rowOff>3174</xdr:rowOff>
    </xdr:from>
    <xdr:ext cx="3868420" cy="0"/>
    <xdr:sp macro="" textlink="">
      <xdr:nvSpPr>
        <xdr:cNvPr id="42" name="Shape 87">
          <a:extLst>
            <a:ext uri="{FF2B5EF4-FFF2-40B4-BE49-F238E27FC236}">
              <a16:creationId xmlns:a16="http://schemas.microsoft.com/office/drawing/2014/main" id="{3FDA9160-FF68-4ED8-9A8E-373082966B54}"/>
            </a:ext>
          </a:extLst>
        </xdr:cNvPr>
        <xdr:cNvSpPr/>
      </xdr:nvSpPr>
      <xdr:spPr>
        <a:xfrm>
          <a:off x="17815814" y="891857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52</xdr:row>
      <xdr:rowOff>3174</xdr:rowOff>
    </xdr:from>
    <xdr:ext cx="3868420" cy="0"/>
    <xdr:sp macro="" textlink="">
      <xdr:nvSpPr>
        <xdr:cNvPr id="43" name="Shape 88">
          <a:extLst>
            <a:ext uri="{FF2B5EF4-FFF2-40B4-BE49-F238E27FC236}">
              <a16:creationId xmlns:a16="http://schemas.microsoft.com/office/drawing/2014/main" id="{083AE912-AD1D-43EB-8C3A-AC259BF381E1}"/>
            </a:ext>
          </a:extLst>
        </xdr:cNvPr>
        <xdr:cNvSpPr/>
      </xdr:nvSpPr>
      <xdr:spPr>
        <a:xfrm>
          <a:off x="17815814" y="908049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53</xdr:row>
      <xdr:rowOff>3174</xdr:rowOff>
    </xdr:from>
    <xdr:ext cx="3868420" cy="0"/>
    <xdr:sp macro="" textlink="">
      <xdr:nvSpPr>
        <xdr:cNvPr id="44" name="Shape 89">
          <a:extLst>
            <a:ext uri="{FF2B5EF4-FFF2-40B4-BE49-F238E27FC236}">
              <a16:creationId xmlns:a16="http://schemas.microsoft.com/office/drawing/2014/main" id="{A6D90830-AEC5-4B1B-B030-7CFD7D37B6C1}"/>
            </a:ext>
          </a:extLst>
        </xdr:cNvPr>
        <xdr:cNvSpPr/>
      </xdr:nvSpPr>
      <xdr:spPr>
        <a:xfrm>
          <a:off x="17815814" y="924242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54</xdr:row>
      <xdr:rowOff>3174</xdr:rowOff>
    </xdr:from>
    <xdr:ext cx="3868420" cy="0"/>
    <xdr:sp macro="" textlink="">
      <xdr:nvSpPr>
        <xdr:cNvPr id="45" name="Shape 90">
          <a:extLst>
            <a:ext uri="{FF2B5EF4-FFF2-40B4-BE49-F238E27FC236}">
              <a16:creationId xmlns:a16="http://schemas.microsoft.com/office/drawing/2014/main" id="{F5DACB65-AE68-4708-A55E-BF88DCE15BE6}"/>
            </a:ext>
          </a:extLst>
        </xdr:cNvPr>
        <xdr:cNvSpPr/>
      </xdr:nvSpPr>
      <xdr:spPr>
        <a:xfrm>
          <a:off x="17815814" y="940434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55</xdr:row>
      <xdr:rowOff>3174</xdr:rowOff>
    </xdr:from>
    <xdr:ext cx="3868420" cy="0"/>
    <xdr:sp macro="" textlink="">
      <xdr:nvSpPr>
        <xdr:cNvPr id="46" name="Shape 91">
          <a:extLst>
            <a:ext uri="{FF2B5EF4-FFF2-40B4-BE49-F238E27FC236}">
              <a16:creationId xmlns:a16="http://schemas.microsoft.com/office/drawing/2014/main" id="{3C3A3FA0-B145-4AF5-8254-1B72970FC09F}"/>
            </a:ext>
          </a:extLst>
        </xdr:cNvPr>
        <xdr:cNvSpPr/>
      </xdr:nvSpPr>
      <xdr:spPr>
        <a:xfrm>
          <a:off x="17815814" y="956627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56</xdr:row>
      <xdr:rowOff>3174</xdr:rowOff>
    </xdr:from>
    <xdr:ext cx="3868420" cy="0"/>
    <xdr:sp macro="" textlink="">
      <xdr:nvSpPr>
        <xdr:cNvPr id="47" name="Shape 92">
          <a:extLst>
            <a:ext uri="{FF2B5EF4-FFF2-40B4-BE49-F238E27FC236}">
              <a16:creationId xmlns:a16="http://schemas.microsoft.com/office/drawing/2014/main" id="{EAC3E0F5-C473-49F7-99A8-C7BA27713E60}"/>
            </a:ext>
          </a:extLst>
        </xdr:cNvPr>
        <xdr:cNvSpPr/>
      </xdr:nvSpPr>
      <xdr:spPr>
        <a:xfrm>
          <a:off x="17815814" y="972819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57</xdr:row>
      <xdr:rowOff>3174</xdr:rowOff>
    </xdr:from>
    <xdr:ext cx="3868420" cy="0"/>
    <xdr:sp macro="" textlink="">
      <xdr:nvSpPr>
        <xdr:cNvPr id="48" name="Shape 93">
          <a:extLst>
            <a:ext uri="{FF2B5EF4-FFF2-40B4-BE49-F238E27FC236}">
              <a16:creationId xmlns:a16="http://schemas.microsoft.com/office/drawing/2014/main" id="{716DDC81-17A1-4DF5-84F7-43BF10DEB922}"/>
            </a:ext>
          </a:extLst>
        </xdr:cNvPr>
        <xdr:cNvSpPr/>
      </xdr:nvSpPr>
      <xdr:spPr>
        <a:xfrm>
          <a:off x="17815814" y="989012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58</xdr:row>
      <xdr:rowOff>3174</xdr:rowOff>
    </xdr:from>
    <xdr:ext cx="3868420" cy="0"/>
    <xdr:sp macro="" textlink="">
      <xdr:nvSpPr>
        <xdr:cNvPr id="49" name="Shape 94">
          <a:extLst>
            <a:ext uri="{FF2B5EF4-FFF2-40B4-BE49-F238E27FC236}">
              <a16:creationId xmlns:a16="http://schemas.microsoft.com/office/drawing/2014/main" id="{958B9301-5609-407B-B546-CC50BE41C489}"/>
            </a:ext>
          </a:extLst>
        </xdr:cNvPr>
        <xdr:cNvSpPr/>
      </xdr:nvSpPr>
      <xdr:spPr>
        <a:xfrm>
          <a:off x="17815814" y="10052049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34</xdr:col>
      <xdr:colOff>32639</xdr:colOff>
      <xdr:row>59</xdr:row>
      <xdr:rowOff>3174</xdr:rowOff>
    </xdr:from>
    <xdr:ext cx="3868420" cy="0"/>
    <xdr:sp macro="" textlink="">
      <xdr:nvSpPr>
        <xdr:cNvPr id="50" name="Shape 95">
          <a:extLst>
            <a:ext uri="{FF2B5EF4-FFF2-40B4-BE49-F238E27FC236}">
              <a16:creationId xmlns:a16="http://schemas.microsoft.com/office/drawing/2014/main" id="{9EB5C2C6-E2A6-42AE-A7A4-73FD543738AA}"/>
            </a:ext>
          </a:extLst>
        </xdr:cNvPr>
        <xdr:cNvSpPr/>
      </xdr:nvSpPr>
      <xdr:spPr>
        <a:xfrm>
          <a:off x="17815814" y="10213974"/>
          <a:ext cx="3868420" cy="0"/>
        </a:xfrm>
        <a:custGeom>
          <a:avLst/>
          <a:gdLst/>
          <a:ahLst/>
          <a:cxnLst/>
          <a:rect l="0" t="0" r="0" b="0"/>
          <a:pathLst>
            <a:path w="3868420">
              <a:moveTo>
                <a:pt x="0" y="0"/>
              </a:moveTo>
              <a:lnTo>
                <a:pt x="3867912" y="0"/>
              </a:lnTo>
            </a:path>
          </a:pathLst>
        </a:custGeom>
        <a:ln w="6350">
          <a:solidFill>
            <a:srgbClr val="939598"/>
          </a:solidFill>
        </a:ln>
      </xdr:spPr>
    </xdr:sp>
    <xdr:clientData/>
  </xdr:oneCellAnchor>
  <xdr:oneCellAnchor>
    <xdr:from>
      <xdr:col>37</xdr:col>
      <xdr:colOff>50293</xdr:colOff>
      <xdr:row>61</xdr:row>
      <xdr:rowOff>0</xdr:rowOff>
    </xdr:from>
    <xdr:ext cx="631190" cy="442595"/>
    <xdr:grpSp>
      <xdr:nvGrpSpPr>
        <xdr:cNvPr id="51" name="Group 96">
          <a:extLst>
            <a:ext uri="{FF2B5EF4-FFF2-40B4-BE49-F238E27FC236}">
              <a16:creationId xmlns:a16="http://schemas.microsoft.com/office/drawing/2014/main" id="{4FE2AF7B-7E98-48A0-8D3F-E8F9A78A61BB}"/>
            </a:ext>
          </a:extLst>
        </xdr:cNvPr>
        <xdr:cNvGrpSpPr/>
      </xdr:nvGrpSpPr>
      <xdr:grpSpPr>
        <a:xfrm>
          <a:off x="21252943" y="12163425"/>
          <a:ext cx="631190" cy="442595"/>
          <a:chOff x="0" y="0"/>
          <a:chExt cx="631190" cy="442595"/>
        </a:xfrm>
      </xdr:grpSpPr>
      <xdr:sp macro="" textlink="">
        <xdr:nvSpPr>
          <xdr:cNvPr id="52" name="Shape 97">
            <a:extLst>
              <a:ext uri="{FF2B5EF4-FFF2-40B4-BE49-F238E27FC236}">
                <a16:creationId xmlns:a16="http://schemas.microsoft.com/office/drawing/2014/main" id="{73D007D8-694D-06F5-3E31-C4C6DAF6140B}"/>
              </a:ext>
            </a:extLst>
          </xdr:cNvPr>
          <xdr:cNvSpPr/>
        </xdr:nvSpPr>
        <xdr:spPr>
          <a:xfrm>
            <a:off x="9142" y="1"/>
            <a:ext cx="612775" cy="442595"/>
          </a:xfrm>
          <a:custGeom>
            <a:avLst/>
            <a:gdLst/>
            <a:ahLst/>
            <a:cxnLst/>
            <a:rect l="0" t="0" r="0" b="0"/>
            <a:pathLst>
              <a:path w="612775" h="442595">
                <a:moveTo>
                  <a:pt x="306324" y="0"/>
                </a:moveTo>
                <a:lnTo>
                  <a:pt x="251262" y="3562"/>
                </a:lnTo>
                <a:lnTo>
                  <a:pt x="199438" y="13833"/>
                </a:lnTo>
                <a:lnTo>
                  <a:pt x="151717" y="30188"/>
                </a:lnTo>
                <a:lnTo>
                  <a:pt x="108963" y="52002"/>
                </a:lnTo>
                <a:lnTo>
                  <a:pt x="72044" y="78652"/>
                </a:lnTo>
                <a:lnTo>
                  <a:pt x="41822" y="109511"/>
                </a:lnTo>
                <a:lnTo>
                  <a:pt x="19164" y="143957"/>
                </a:lnTo>
                <a:lnTo>
                  <a:pt x="4935" y="181363"/>
                </a:lnTo>
                <a:lnTo>
                  <a:pt x="0" y="221106"/>
                </a:lnTo>
                <a:lnTo>
                  <a:pt x="4935" y="260850"/>
                </a:lnTo>
                <a:lnTo>
                  <a:pt x="19164" y="298256"/>
                </a:lnTo>
                <a:lnTo>
                  <a:pt x="41822" y="332702"/>
                </a:lnTo>
                <a:lnTo>
                  <a:pt x="72044" y="363561"/>
                </a:lnTo>
                <a:lnTo>
                  <a:pt x="108963" y="390211"/>
                </a:lnTo>
                <a:lnTo>
                  <a:pt x="151717" y="412025"/>
                </a:lnTo>
                <a:lnTo>
                  <a:pt x="199438" y="428380"/>
                </a:lnTo>
                <a:lnTo>
                  <a:pt x="251262" y="438651"/>
                </a:lnTo>
                <a:lnTo>
                  <a:pt x="306324" y="442213"/>
                </a:lnTo>
                <a:lnTo>
                  <a:pt x="361385" y="438651"/>
                </a:lnTo>
                <a:lnTo>
                  <a:pt x="413209" y="428380"/>
                </a:lnTo>
                <a:lnTo>
                  <a:pt x="460930" y="412025"/>
                </a:lnTo>
                <a:lnTo>
                  <a:pt x="503684" y="390211"/>
                </a:lnTo>
                <a:lnTo>
                  <a:pt x="540603" y="363561"/>
                </a:lnTo>
                <a:lnTo>
                  <a:pt x="570825" y="332702"/>
                </a:lnTo>
                <a:lnTo>
                  <a:pt x="593483" y="298256"/>
                </a:lnTo>
                <a:lnTo>
                  <a:pt x="607712" y="260850"/>
                </a:lnTo>
                <a:lnTo>
                  <a:pt x="612648" y="221106"/>
                </a:lnTo>
                <a:lnTo>
                  <a:pt x="607712" y="181363"/>
                </a:lnTo>
                <a:lnTo>
                  <a:pt x="593483" y="143957"/>
                </a:lnTo>
                <a:lnTo>
                  <a:pt x="570825" y="109511"/>
                </a:lnTo>
                <a:lnTo>
                  <a:pt x="540603" y="78652"/>
                </a:lnTo>
                <a:lnTo>
                  <a:pt x="503684" y="52002"/>
                </a:lnTo>
                <a:lnTo>
                  <a:pt x="460930" y="30188"/>
                </a:lnTo>
                <a:lnTo>
                  <a:pt x="413209" y="13833"/>
                </a:lnTo>
                <a:lnTo>
                  <a:pt x="361385" y="3562"/>
                </a:lnTo>
                <a:lnTo>
                  <a:pt x="306324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53" name="Shape 98">
            <a:extLst>
              <a:ext uri="{FF2B5EF4-FFF2-40B4-BE49-F238E27FC236}">
                <a16:creationId xmlns:a16="http://schemas.microsoft.com/office/drawing/2014/main" id="{F99F71BD-8268-5CEB-1297-C88129118528}"/>
              </a:ext>
            </a:extLst>
          </xdr:cNvPr>
          <xdr:cNvSpPr/>
        </xdr:nvSpPr>
        <xdr:spPr>
          <a:xfrm>
            <a:off x="-1" y="6"/>
            <a:ext cx="631190" cy="442595"/>
          </a:xfrm>
          <a:custGeom>
            <a:avLst/>
            <a:gdLst/>
            <a:ahLst/>
            <a:cxnLst/>
            <a:rect l="0" t="0" r="0" b="0"/>
            <a:pathLst>
              <a:path w="631190" h="442595">
                <a:moveTo>
                  <a:pt x="267601" y="264998"/>
                </a:moveTo>
                <a:lnTo>
                  <a:pt x="266585" y="243268"/>
                </a:lnTo>
                <a:lnTo>
                  <a:pt x="259041" y="233133"/>
                </a:lnTo>
                <a:lnTo>
                  <a:pt x="256235" y="233019"/>
                </a:lnTo>
                <a:lnTo>
                  <a:pt x="252310" y="237490"/>
                </a:lnTo>
                <a:lnTo>
                  <a:pt x="244856" y="252526"/>
                </a:lnTo>
                <a:lnTo>
                  <a:pt x="241795" y="272326"/>
                </a:lnTo>
                <a:lnTo>
                  <a:pt x="244144" y="289509"/>
                </a:lnTo>
                <a:lnTo>
                  <a:pt x="252996" y="296684"/>
                </a:lnTo>
                <a:lnTo>
                  <a:pt x="262839" y="286677"/>
                </a:lnTo>
                <a:lnTo>
                  <a:pt x="267601" y="264998"/>
                </a:lnTo>
                <a:close/>
              </a:path>
              <a:path w="631190" h="442595">
                <a:moveTo>
                  <a:pt x="368211" y="261429"/>
                </a:moveTo>
                <a:lnTo>
                  <a:pt x="366191" y="239776"/>
                </a:lnTo>
                <a:lnTo>
                  <a:pt x="358724" y="229285"/>
                </a:lnTo>
                <a:lnTo>
                  <a:pt x="349300" y="238226"/>
                </a:lnTo>
                <a:lnTo>
                  <a:pt x="344919" y="259562"/>
                </a:lnTo>
                <a:lnTo>
                  <a:pt x="346392" y="281381"/>
                </a:lnTo>
                <a:lnTo>
                  <a:pt x="354584" y="291769"/>
                </a:lnTo>
                <a:lnTo>
                  <a:pt x="364451" y="282613"/>
                </a:lnTo>
                <a:lnTo>
                  <a:pt x="368211" y="261429"/>
                </a:lnTo>
                <a:close/>
              </a:path>
              <a:path w="631190" h="442595">
                <a:moveTo>
                  <a:pt x="475005" y="262877"/>
                </a:moveTo>
                <a:lnTo>
                  <a:pt x="474827" y="241693"/>
                </a:lnTo>
                <a:lnTo>
                  <a:pt x="467855" y="232473"/>
                </a:lnTo>
                <a:lnTo>
                  <a:pt x="458330" y="242379"/>
                </a:lnTo>
                <a:lnTo>
                  <a:pt x="452894" y="263245"/>
                </a:lnTo>
                <a:lnTo>
                  <a:pt x="453110" y="284022"/>
                </a:lnTo>
                <a:lnTo>
                  <a:pt x="460565" y="293649"/>
                </a:lnTo>
                <a:lnTo>
                  <a:pt x="469785" y="284149"/>
                </a:lnTo>
                <a:lnTo>
                  <a:pt x="475005" y="262877"/>
                </a:lnTo>
                <a:close/>
              </a:path>
              <a:path w="631190" h="442595">
                <a:moveTo>
                  <a:pt x="536117" y="128155"/>
                </a:moveTo>
                <a:lnTo>
                  <a:pt x="536041" y="127863"/>
                </a:lnTo>
                <a:lnTo>
                  <a:pt x="535838" y="127609"/>
                </a:lnTo>
                <a:lnTo>
                  <a:pt x="535647" y="127355"/>
                </a:lnTo>
                <a:lnTo>
                  <a:pt x="535381" y="127165"/>
                </a:lnTo>
                <a:lnTo>
                  <a:pt x="535025" y="127063"/>
                </a:lnTo>
                <a:lnTo>
                  <a:pt x="534670" y="126949"/>
                </a:lnTo>
                <a:lnTo>
                  <a:pt x="533806" y="126885"/>
                </a:lnTo>
                <a:lnTo>
                  <a:pt x="531444" y="126885"/>
                </a:lnTo>
                <a:lnTo>
                  <a:pt x="531444" y="130124"/>
                </a:lnTo>
                <a:lnTo>
                  <a:pt x="533819" y="130124"/>
                </a:lnTo>
                <a:lnTo>
                  <a:pt x="534682" y="130060"/>
                </a:lnTo>
                <a:lnTo>
                  <a:pt x="535025" y="129959"/>
                </a:lnTo>
                <a:lnTo>
                  <a:pt x="535368" y="129857"/>
                </a:lnTo>
                <a:lnTo>
                  <a:pt x="535622" y="129667"/>
                </a:lnTo>
                <a:lnTo>
                  <a:pt x="535838" y="129400"/>
                </a:lnTo>
                <a:lnTo>
                  <a:pt x="536028" y="129133"/>
                </a:lnTo>
                <a:lnTo>
                  <a:pt x="536117" y="128828"/>
                </a:lnTo>
                <a:lnTo>
                  <a:pt x="536117" y="128155"/>
                </a:lnTo>
                <a:close/>
              </a:path>
              <a:path w="631190" h="442595">
                <a:moveTo>
                  <a:pt x="542582" y="129286"/>
                </a:moveTo>
                <a:lnTo>
                  <a:pt x="542175" y="127774"/>
                </a:lnTo>
                <a:lnTo>
                  <a:pt x="540727" y="125234"/>
                </a:lnTo>
                <a:lnTo>
                  <a:pt x="540639" y="125082"/>
                </a:lnTo>
                <a:lnTo>
                  <a:pt x="539432" y="123799"/>
                </a:lnTo>
                <a:lnTo>
                  <a:pt x="539394" y="136867"/>
                </a:lnTo>
                <a:lnTo>
                  <a:pt x="536397" y="136867"/>
                </a:lnTo>
                <a:lnTo>
                  <a:pt x="534720" y="133642"/>
                </a:lnTo>
                <a:lnTo>
                  <a:pt x="534174" y="132829"/>
                </a:lnTo>
                <a:lnTo>
                  <a:pt x="533450" y="132270"/>
                </a:lnTo>
                <a:lnTo>
                  <a:pt x="533679" y="132270"/>
                </a:lnTo>
                <a:lnTo>
                  <a:pt x="532091" y="131800"/>
                </a:lnTo>
                <a:lnTo>
                  <a:pt x="531444" y="131800"/>
                </a:lnTo>
                <a:lnTo>
                  <a:pt x="531444" y="136867"/>
                </a:lnTo>
                <a:lnTo>
                  <a:pt x="529018" y="136867"/>
                </a:lnTo>
                <a:lnTo>
                  <a:pt x="529018" y="125082"/>
                </a:lnTo>
                <a:lnTo>
                  <a:pt x="536054" y="125082"/>
                </a:lnTo>
                <a:lnTo>
                  <a:pt x="538645" y="129286"/>
                </a:lnTo>
                <a:lnTo>
                  <a:pt x="538378" y="129921"/>
                </a:lnTo>
                <a:lnTo>
                  <a:pt x="537260" y="131140"/>
                </a:lnTo>
                <a:lnTo>
                  <a:pt x="536473" y="131521"/>
                </a:lnTo>
                <a:lnTo>
                  <a:pt x="535457" y="131660"/>
                </a:lnTo>
                <a:lnTo>
                  <a:pt x="535901" y="131800"/>
                </a:lnTo>
                <a:lnTo>
                  <a:pt x="536486" y="132270"/>
                </a:lnTo>
                <a:lnTo>
                  <a:pt x="537108" y="133019"/>
                </a:lnTo>
                <a:lnTo>
                  <a:pt x="539394" y="136867"/>
                </a:lnTo>
                <a:lnTo>
                  <a:pt x="539394" y="123786"/>
                </a:lnTo>
                <a:lnTo>
                  <a:pt x="536587" y="122262"/>
                </a:lnTo>
                <a:lnTo>
                  <a:pt x="535101" y="121881"/>
                </a:lnTo>
                <a:lnTo>
                  <a:pt x="532003" y="121881"/>
                </a:lnTo>
                <a:lnTo>
                  <a:pt x="524560" y="129286"/>
                </a:lnTo>
                <a:lnTo>
                  <a:pt x="524662" y="132829"/>
                </a:lnTo>
                <a:lnTo>
                  <a:pt x="524878" y="133642"/>
                </a:lnTo>
                <a:lnTo>
                  <a:pt x="524954" y="133934"/>
                </a:lnTo>
                <a:lnTo>
                  <a:pt x="526618" y="136867"/>
                </a:lnTo>
                <a:lnTo>
                  <a:pt x="527646" y="137883"/>
                </a:lnTo>
                <a:lnTo>
                  <a:pt x="530504" y="139484"/>
                </a:lnTo>
                <a:lnTo>
                  <a:pt x="531990" y="139890"/>
                </a:lnTo>
                <a:lnTo>
                  <a:pt x="535139" y="139890"/>
                </a:lnTo>
                <a:lnTo>
                  <a:pt x="536625" y="139484"/>
                </a:lnTo>
                <a:lnTo>
                  <a:pt x="539470" y="137883"/>
                </a:lnTo>
                <a:lnTo>
                  <a:pt x="540499" y="136867"/>
                </a:lnTo>
                <a:lnTo>
                  <a:pt x="542175" y="133934"/>
                </a:lnTo>
                <a:lnTo>
                  <a:pt x="542417" y="133019"/>
                </a:lnTo>
                <a:lnTo>
                  <a:pt x="542480" y="132829"/>
                </a:lnTo>
                <a:lnTo>
                  <a:pt x="542582" y="129286"/>
                </a:lnTo>
                <a:close/>
              </a:path>
              <a:path w="631190" h="442595">
                <a:moveTo>
                  <a:pt x="630936" y="221107"/>
                </a:moveTo>
                <a:lnTo>
                  <a:pt x="629513" y="209423"/>
                </a:lnTo>
                <a:lnTo>
                  <a:pt x="629450" y="208940"/>
                </a:lnTo>
                <a:lnTo>
                  <a:pt x="629361" y="208254"/>
                </a:lnTo>
                <a:lnTo>
                  <a:pt x="626402" y="183883"/>
                </a:lnTo>
                <a:lnTo>
                  <a:pt x="626287" y="182994"/>
                </a:lnTo>
                <a:lnTo>
                  <a:pt x="626224" y="182473"/>
                </a:lnTo>
                <a:lnTo>
                  <a:pt x="626110" y="181571"/>
                </a:lnTo>
                <a:lnTo>
                  <a:pt x="625995" y="180581"/>
                </a:lnTo>
                <a:lnTo>
                  <a:pt x="625944" y="180174"/>
                </a:lnTo>
                <a:lnTo>
                  <a:pt x="625817" y="179146"/>
                </a:lnTo>
                <a:lnTo>
                  <a:pt x="625754" y="178574"/>
                </a:lnTo>
                <a:lnTo>
                  <a:pt x="624916" y="176314"/>
                </a:lnTo>
                <a:lnTo>
                  <a:pt x="612038" y="142354"/>
                </a:lnTo>
                <a:lnTo>
                  <a:pt x="611924" y="142062"/>
                </a:lnTo>
                <a:lnTo>
                  <a:pt x="610476" y="138226"/>
                </a:lnTo>
                <a:lnTo>
                  <a:pt x="597954" y="119659"/>
                </a:lnTo>
                <a:lnTo>
                  <a:pt x="585622" y="101371"/>
                </a:lnTo>
                <a:lnTo>
                  <a:pt x="564870" y="81457"/>
                </a:lnTo>
                <a:lnTo>
                  <a:pt x="562686" y="79362"/>
                </a:lnTo>
                <a:lnTo>
                  <a:pt x="551688" y="68808"/>
                </a:lnTo>
                <a:lnTo>
                  <a:pt x="546912" y="65684"/>
                </a:lnTo>
                <a:lnTo>
                  <a:pt x="546912" y="249948"/>
                </a:lnTo>
                <a:lnTo>
                  <a:pt x="531279" y="259448"/>
                </a:lnTo>
                <a:lnTo>
                  <a:pt x="526948" y="262001"/>
                </a:lnTo>
                <a:lnTo>
                  <a:pt x="521804" y="264972"/>
                </a:lnTo>
                <a:lnTo>
                  <a:pt x="518071" y="284429"/>
                </a:lnTo>
                <a:lnTo>
                  <a:pt x="498716" y="327914"/>
                </a:lnTo>
                <a:lnTo>
                  <a:pt x="458304" y="351967"/>
                </a:lnTo>
                <a:lnTo>
                  <a:pt x="443649" y="347383"/>
                </a:lnTo>
                <a:lnTo>
                  <a:pt x="438823" y="345884"/>
                </a:lnTo>
                <a:lnTo>
                  <a:pt x="423456" y="327914"/>
                </a:lnTo>
                <a:lnTo>
                  <a:pt x="417779" y="313118"/>
                </a:lnTo>
                <a:lnTo>
                  <a:pt x="414553" y="294728"/>
                </a:lnTo>
                <a:lnTo>
                  <a:pt x="414439" y="284429"/>
                </a:lnTo>
                <a:lnTo>
                  <a:pt x="414324" y="274726"/>
                </a:lnTo>
                <a:lnTo>
                  <a:pt x="414299" y="272910"/>
                </a:lnTo>
                <a:lnTo>
                  <a:pt x="417449" y="247637"/>
                </a:lnTo>
                <a:lnTo>
                  <a:pt x="408673" y="252425"/>
                </a:lnTo>
                <a:lnTo>
                  <a:pt x="405485" y="297383"/>
                </a:lnTo>
                <a:lnTo>
                  <a:pt x="375031" y="342595"/>
                </a:lnTo>
                <a:lnTo>
                  <a:pt x="356260" y="347383"/>
                </a:lnTo>
                <a:lnTo>
                  <a:pt x="337883" y="342442"/>
                </a:lnTo>
                <a:lnTo>
                  <a:pt x="314490" y="311937"/>
                </a:lnTo>
                <a:lnTo>
                  <a:pt x="309638" y="256578"/>
                </a:lnTo>
                <a:lnTo>
                  <a:pt x="303364" y="260451"/>
                </a:lnTo>
                <a:lnTo>
                  <a:pt x="303352" y="262001"/>
                </a:lnTo>
                <a:lnTo>
                  <a:pt x="303225" y="280568"/>
                </a:lnTo>
                <a:lnTo>
                  <a:pt x="300647" y="297383"/>
                </a:lnTo>
                <a:lnTo>
                  <a:pt x="265963" y="346811"/>
                </a:lnTo>
                <a:lnTo>
                  <a:pt x="244208" y="351904"/>
                </a:lnTo>
                <a:lnTo>
                  <a:pt x="225005" y="345617"/>
                </a:lnTo>
                <a:lnTo>
                  <a:pt x="212648" y="328345"/>
                </a:lnTo>
                <a:lnTo>
                  <a:pt x="186778" y="349770"/>
                </a:lnTo>
                <a:lnTo>
                  <a:pt x="141833" y="347903"/>
                </a:lnTo>
                <a:lnTo>
                  <a:pt x="123291" y="328536"/>
                </a:lnTo>
                <a:lnTo>
                  <a:pt x="122859" y="327901"/>
                </a:lnTo>
                <a:lnTo>
                  <a:pt x="105702" y="290855"/>
                </a:lnTo>
                <a:lnTo>
                  <a:pt x="96558" y="245071"/>
                </a:lnTo>
                <a:lnTo>
                  <a:pt x="96685" y="211404"/>
                </a:lnTo>
                <a:lnTo>
                  <a:pt x="96735" y="196215"/>
                </a:lnTo>
                <a:lnTo>
                  <a:pt x="107581" y="149047"/>
                </a:lnTo>
                <a:lnTo>
                  <a:pt x="130429" y="109626"/>
                </a:lnTo>
                <a:lnTo>
                  <a:pt x="166624" y="83159"/>
                </a:lnTo>
                <a:lnTo>
                  <a:pt x="207746" y="79362"/>
                </a:lnTo>
                <a:lnTo>
                  <a:pt x="230441" y="102362"/>
                </a:lnTo>
                <a:lnTo>
                  <a:pt x="236588" y="139611"/>
                </a:lnTo>
                <a:lnTo>
                  <a:pt x="228041" y="178574"/>
                </a:lnTo>
                <a:lnTo>
                  <a:pt x="210477" y="197129"/>
                </a:lnTo>
                <a:lnTo>
                  <a:pt x="190233" y="195072"/>
                </a:lnTo>
                <a:lnTo>
                  <a:pt x="177431" y="175704"/>
                </a:lnTo>
                <a:lnTo>
                  <a:pt x="182079" y="143217"/>
                </a:lnTo>
                <a:lnTo>
                  <a:pt x="182206" y="142354"/>
                </a:lnTo>
                <a:lnTo>
                  <a:pt x="184632" y="136944"/>
                </a:lnTo>
                <a:lnTo>
                  <a:pt x="175920" y="136080"/>
                </a:lnTo>
                <a:lnTo>
                  <a:pt x="159524" y="176314"/>
                </a:lnTo>
                <a:lnTo>
                  <a:pt x="153111" y="240309"/>
                </a:lnTo>
                <a:lnTo>
                  <a:pt x="161480" y="270065"/>
                </a:lnTo>
                <a:lnTo>
                  <a:pt x="183476" y="290118"/>
                </a:lnTo>
                <a:lnTo>
                  <a:pt x="186296" y="291452"/>
                </a:lnTo>
                <a:lnTo>
                  <a:pt x="192278" y="291452"/>
                </a:lnTo>
                <a:lnTo>
                  <a:pt x="199834" y="285610"/>
                </a:lnTo>
                <a:lnTo>
                  <a:pt x="201942" y="282435"/>
                </a:lnTo>
                <a:lnTo>
                  <a:pt x="201561" y="278409"/>
                </a:lnTo>
                <a:lnTo>
                  <a:pt x="207225" y="230517"/>
                </a:lnTo>
                <a:lnTo>
                  <a:pt x="227190" y="197129"/>
                </a:lnTo>
                <a:lnTo>
                  <a:pt x="227749" y="196215"/>
                </a:lnTo>
                <a:lnTo>
                  <a:pt x="255308" y="179146"/>
                </a:lnTo>
                <a:lnTo>
                  <a:pt x="282092" y="182994"/>
                </a:lnTo>
                <a:lnTo>
                  <a:pt x="300278" y="211404"/>
                </a:lnTo>
                <a:lnTo>
                  <a:pt x="310159" y="206006"/>
                </a:lnTo>
                <a:lnTo>
                  <a:pt x="315734" y="179146"/>
                </a:lnTo>
                <a:lnTo>
                  <a:pt x="318020" y="168109"/>
                </a:lnTo>
                <a:lnTo>
                  <a:pt x="334479" y="124231"/>
                </a:lnTo>
                <a:lnTo>
                  <a:pt x="360273" y="91516"/>
                </a:lnTo>
                <a:lnTo>
                  <a:pt x="396151" y="87096"/>
                </a:lnTo>
                <a:lnTo>
                  <a:pt x="402526" y="89496"/>
                </a:lnTo>
                <a:lnTo>
                  <a:pt x="408063" y="96367"/>
                </a:lnTo>
                <a:lnTo>
                  <a:pt x="404507" y="106362"/>
                </a:lnTo>
                <a:lnTo>
                  <a:pt x="398195" y="120497"/>
                </a:lnTo>
                <a:lnTo>
                  <a:pt x="390385" y="133604"/>
                </a:lnTo>
                <a:lnTo>
                  <a:pt x="380047" y="151904"/>
                </a:lnTo>
                <a:lnTo>
                  <a:pt x="366128" y="181571"/>
                </a:lnTo>
                <a:lnTo>
                  <a:pt x="378307" y="178803"/>
                </a:lnTo>
                <a:lnTo>
                  <a:pt x="386092" y="183883"/>
                </a:lnTo>
                <a:lnTo>
                  <a:pt x="405574" y="209423"/>
                </a:lnTo>
                <a:lnTo>
                  <a:pt x="426123" y="198589"/>
                </a:lnTo>
                <a:lnTo>
                  <a:pt x="429691" y="179146"/>
                </a:lnTo>
                <a:lnTo>
                  <a:pt x="429755" y="178803"/>
                </a:lnTo>
                <a:lnTo>
                  <a:pt x="431279" y="170510"/>
                </a:lnTo>
                <a:lnTo>
                  <a:pt x="439369" y="143217"/>
                </a:lnTo>
                <a:lnTo>
                  <a:pt x="450773" y="117182"/>
                </a:lnTo>
                <a:lnTo>
                  <a:pt x="465836" y="92875"/>
                </a:lnTo>
                <a:lnTo>
                  <a:pt x="474395" y="87096"/>
                </a:lnTo>
                <a:lnTo>
                  <a:pt x="482739" y="81457"/>
                </a:lnTo>
                <a:lnTo>
                  <a:pt x="500570" y="83807"/>
                </a:lnTo>
                <a:lnTo>
                  <a:pt x="512622" y="96367"/>
                </a:lnTo>
                <a:lnTo>
                  <a:pt x="512191" y="115506"/>
                </a:lnTo>
                <a:lnTo>
                  <a:pt x="504583" y="131851"/>
                </a:lnTo>
                <a:lnTo>
                  <a:pt x="496366" y="147815"/>
                </a:lnTo>
                <a:lnTo>
                  <a:pt x="488416" y="163893"/>
                </a:lnTo>
                <a:lnTo>
                  <a:pt x="481584" y="180581"/>
                </a:lnTo>
                <a:lnTo>
                  <a:pt x="487514" y="180174"/>
                </a:lnTo>
                <a:lnTo>
                  <a:pt x="493725" y="180771"/>
                </a:lnTo>
                <a:lnTo>
                  <a:pt x="521830" y="208940"/>
                </a:lnTo>
                <a:lnTo>
                  <a:pt x="522452" y="217665"/>
                </a:lnTo>
                <a:lnTo>
                  <a:pt x="542823" y="208254"/>
                </a:lnTo>
                <a:lnTo>
                  <a:pt x="546912" y="249948"/>
                </a:lnTo>
                <a:lnTo>
                  <a:pt x="546912" y="65684"/>
                </a:lnTo>
                <a:lnTo>
                  <a:pt x="544753" y="64262"/>
                </a:lnTo>
                <a:lnTo>
                  <a:pt x="544753" y="128892"/>
                </a:lnTo>
                <a:lnTo>
                  <a:pt x="544753" y="132803"/>
                </a:lnTo>
                <a:lnTo>
                  <a:pt x="535508" y="142062"/>
                </a:lnTo>
                <a:lnTo>
                  <a:pt x="531596" y="142062"/>
                </a:lnTo>
                <a:lnTo>
                  <a:pt x="522312" y="132803"/>
                </a:lnTo>
                <a:lnTo>
                  <a:pt x="522312" y="128892"/>
                </a:lnTo>
                <a:lnTo>
                  <a:pt x="531622" y="119659"/>
                </a:lnTo>
                <a:lnTo>
                  <a:pt x="535470" y="119659"/>
                </a:lnTo>
                <a:lnTo>
                  <a:pt x="544753" y="128892"/>
                </a:lnTo>
                <a:lnTo>
                  <a:pt x="544753" y="64262"/>
                </a:lnTo>
                <a:lnTo>
                  <a:pt x="471766" y="25146"/>
                </a:lnTo>
                <a:lnTo>
                  <a:pt x="424103" y="11252"/>
                </a:lnTo>
                <a:lnTo>
                  <a:pt x="371856" y="2832"/>
                </a:lnTo>
                <a:lnTo>
                  <a:pt x="315468" y="0"/>
                </a:lnTo>
                <a:lnTo>
                  <a:pt x="259067" y="2832"/>
                </a:lnTo>
                <a:lnTo>
                  <a:pt x="206832" y="11252"/>
                </a:lnTo>
                <a:lnTo>
                  <a:pt x="159156" y="25146"/>
                </a:lnTo>
                <a:lnTo>
                  <a:pt x="116497" y="44373"/>
                </a:lnTo>
                <a:lnTo>
                  <a:pt x="79260" y="68808"/>
                </a:lnTo>
                <a:lnTo>
                  <a:pt x="45313" y="101371"/>
                </a:lnTo>
                <a:lnTo>
                  <a:pt x="20459" y="138226"/>
                </a:lnTo>
                <a:lnTo>
                  <a:pt x="6007" y="176314"/>
                </a:lnTo>
                <a:lnTo>
                  <a:pt x="0" y="221107"/>
                </a:lnTo>
                <a:lnTo>
                  <a:pt x="5194" y="263753"/>
                </a:lnTo>
                <a:lnTo>
                  <a:pt x="20459" y="303974"/>
                </a:lnTo>
                <a:lnTo>
                  <a:pt x="45313" y="340842"/>
                </a:lnTo>
                <a:lnTo>
                  <a:pt x="79260" y="373405"/>
                </a:lnTo>
                <a:lnTo>
                  <a:pt x="116497" y="397840"/>
                </a:lnTo>
                <a:lnTo>
                  <a:pt x="159156" y="417068"/>
                </a:lnTo>
                <a:lnTo>
                  <a:pt x="206832" y="430961"/>
                </a:lnTo>
                <a:lnTo>
                  <a:pt x="259067" y="439381"/>
                </a:lnTo>
                <a:lnTo>
                  <a:pt x="315468" y="442214"/>
                </a:lnTo>
                <a:lnTo>
                  <a:pt x="371856" y="439381"/>
                </a:lnTo>
                <a:lnTo>
                  <a:pt x="424103" y="430961"/>
                </a:lnTo>
                <a:lnTo>
                  <a:pt x="471766" y="417068"/>
                </a:lnTo>
                <a:lnTo>
                  <a:pt x="514438" y="397840"/>
                </a:lnTo>
                <a:lnTo>
                  <a:pt x="551688" y="373405"/>
                </a:lnTo>
                <a:lnTo>
                  <a:pt x="574027" y="351967"/>
                </a:lnTo>
                <a:lnTo>
                  <a:pt x="585622" y="340842"/>
                </a:lnTo>
                <a:lnTo>
                  <a:pt x="610476" y="303974"/>
                </a:lnTo>
                <a:lnTo>
                  <a:pt x="625729" y="263753"/>
                </a:lnTo>
                <a:lnTo>
                  <a:pt x="630936" y="221107"/>
                </a:lnTo>
                <a:close/>
              </a:path>
            </a:pathLst>
          </a:custGeom>
          <a:solidFill>
            <a:srgbClr val="D91E39"/>
          </a:solidFill>
        </xdr:spPr>
      </xdr:sp>
    </xdr:grpSp>
    <xdr:clientData/>
  </xdr:oneCellAnchor>
  <xdr:twoCellAnchor>
    <xdr:from>
      <xdr:col>51</xdr:col>
      <xdr:colOff>157162</xdr:colOff>
      <xdr:row>1</xdr:row>
      <xdr:rowOff>28575</xdr:rowOff>
    </xdr:from>
    <xdr:to>
      <xdr:col>61</xdr:col>
      <xdr:colOff>66675</xdr:colOff>
      <xdr:row>19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B5B0AA77-5CFC-4D5E-B069-7C9AAC853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51</xdr:col>
      <xdr:colOff>166687</xdr:colOff>
      <xdr:row>20</xdr:row>
      <xdr:rowOff>76200</xdr:rowOff>
    </xdr:from>
    <xdr:to>
      <xdr:col>61</xdr:col>
      <xdr:colOff>66675</xdr:colOff>
      <xdr:row>36</xdr:row>
      <xdr:rowOff>361950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D744DBFD-BEE2-4DDB-BBCA-7056388C9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51</xdr:col>
      <xdr:colOff>176211</xdr:colOff>
      <xdr:row>36</xdr:row>
      <xdr:rowOff>533400</xdr:rowOff>
    </xdr:from>
    <xdr:to>
      <xdr:col>61</xdr:col>
      <xdr:colOff>47624</xdr:colOff>
      <xdr:row>66</xdr:row>
      <xdr:rowOff>57150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3AB88DCC-3A8D-4251-83B9-6ED9D33D1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51</xdr:col>
      <xdr:colOff>233361</xdr:colOff>
      <xdr:row>68</xdr:row>
      <xdr:rowOff>123825</xdr:rowOff>
    </xdr:from>
    <xdr:to>
      <xdr:col>61</xdr:col>
      <xdr:colOff>104774</xdr:colOff>
      <xdr:row>85</xdr:row>
      <xdr:rowOff>114300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145BE18B-72C2-4D17-AA43-4345EA6E8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214311</xdr:colOff>
      <xdr:row>86</xdr:row>
      <xdr:rowOff>95250</xdr:rowOff>
    </xdr:from>
    <xdr:to>
      <xdr:col>61</xdr:col>
      <xdr:colOff>161924</xdr:colOff>
      <xdr:row>103</xdr:row>
      <xdr:rowOff>85725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0FA3CC53-1DB1-40D8-B6B1-0BF925362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40</xdr:col>
      <xdr:colOff>414336</xdr:colOff>
      <xdr:row>65</xdr:row>
      <xdr:rowOff>95250</xdr:rowOff>
    </xdr:from>
    <xdr:to>
      <xdr:col>50</xdr:col>
      <xdr:colOff>514349</xdr:colOff>
      <xdr:row>82</xdr:row>
      <xdr:rowOff>85725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BBE91031-B113-4DD1-8444-B27857263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40</xdr:col>
      <xdr:colOff>414336</xdr:colOff>
      <xdr:row>84</xdr:row>
      <xdr:rowOff>57150</xdr:rowOff>
    </xdr:from>
    <xdr:to>
      <xdr:col>50</xdr:col>
      <xdr:colOff>514349</xdr:colOff>
      <xdr:row>101</xdr:row>
      <xdr:rowOff>47625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1EA42F04-AA98-4382-AD9F-E18E4554B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40</xdr:col>
      <xdr:colOff>404812</xdr:colOff>
      <xdr:row>102</xdr:row>
      <xdr:rowOff>76200</xdr:rowOff>
    </xdr:from>
    <xdr:to>
      <xdr:col>50</xdr:col>
      <xdr:colOff>514350</xdr:colOff>
      <xdr:row>119</xdr:row>
      <xdr:rowOff>66675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1E80F1CF-692B-460E-8CBC-B80885FFD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40</xdr:col>
      <xdr:colOff>414337</xdr:colOff>
      <xdr:row>121</xdr:row>
      <xdr:rowOff>47625</xdr:rowOff>
    </xdr:from>
    <xdr:to>
      <xdr:col>50</xdr:col>
      <xdr:colOff>523875</xdr:colOff>
      <xdr:row>138</xdr:row>
      <xdr:rowOff>38100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0D74ED45-73E5-47CF-B539-C74AA2EA5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40</xdr:col>
      <xdr:colOff>404811</xdr:colOff>
      <xdr:row>140</xdr:row>
      <xdr:rowOff>19050</xdr:rowOff>
    </xdr:from>
    <xdr:to>
      <xdr:col>50</xdr:col>
      <xdr:colOff>523874</xdr:colOff>
      <xdr:row>157</xdr:row>
      <xdr:rowOff>9525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C5A7E8E4-8125-492A-B96D-BFFBF0819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40</xdr:col>
      <xdr:colOff>395286</xdr:colOff>
      <xdr:row>158</xdr:row>
      <xdr:rowOff>9525</xdr:rowOff>
    </xdr:from>
    <xdr:to>
      <xdr:col>50</xdr:col>
      <xdr:colOff>533399</xdr:colOff>
      <xdr:row>175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FF1D22A6-1123-4D76-8B70-71633929A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71</xdr:col>
      <xdr:colOff>52386</xdr:colOff>
      <xdr:row>9</xdr:row>
      <xdr:rowOff>19050</xdr:rowOff>
    </xdr:from>
    <xdr:to>
      <xdr:col>81</xdr:col>
      <xdr:colOff>19049</xdr:colOff>
      <xdr:row>27</xdr:row>
      <xdr:rowOff>19050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C1BB2A62-0BCC-4E54-A822-F6BDFFC74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82</xdr:col>
      <xdr:colOff>368808</xdr:colOff>
      <xdr:row>61</xdr:row>
      <xdr:rowOff>634</xdr:rowOff>
    </xdr:from>
    <xdr:ext cx="4190365" cy="401320"/>
    <xdr:grpSp>
      <xdr:nvGrpSpPr>
        <xdr:cNvPr id="66" name="Group 22">
          <a:extLst>
            <a:ext uri="{FF2B5EF4-FFF2-40B4-BE49-F238E27FC236}">
              <a16:creationId xmlns:a16="http://schemas.microsoft.com/office/drawing/2014/main" id="{42F617A6-7D38-4B25-BD14-62AFF58B0C07}"/>
            </a:ext>
          </a:extLst>
        </xdr:cNvPr>
        <xdr:cNvGrpSpPr/>
      </xdr:nvGrpSpPr>
      <xdr:grpSpPr>
        <a:xfrm>
          <a:off x="48793908" y="12164059"/>
          <a:ext cx="4190365" cy="401320"/>
          <a:chOff x="0" y="0"/>
          <a:chExt cx="4190365" cy="401320"/>
        </a:xfrm>
      </xdr:grpSpPr>
      <xdr:sp macro="" textlink="">
        <xdr:nvSpPr>
          <xdr:cNvPr id="67" name="Shape 23">
            <a:extLst>
              <a:ext uri="{FF2B5EF4-FFF2-40B4-BE49-F238E27FC236}">
                <a16:creationId xmlns:a16="http://schemas.microsoft.com/office/drawing/2014/main" id="{0246CC20-8682-EA61-3BAB-2CA0CAFE776B}"/>
              </a:ext>
            </a:extLst>
          </xdr:cNvPr>
          <xdr:cNvSpPr/>
        </xdr:nvSpPr>
        <xdr:spPr>
          <a:xfrm>
            <a:off x="0" y="0"/>
            <a:ext cx="4190365" cy="401320"/>
          </a:xfrm>
          <a:custGeom>
            <a:avLst/>
            <a:gdLst/>
            <a:ahLst/>
            <a:cxnLst/>
            <a:rect l="0" t="0" r="0" b="0"/>
            <a:pathLst>
              <a:path w="4190365" h="401320">
                <a:moveTo>
                  <a:pt x="4037584" y="0"/>
                </a:moveTo>
                <a:lnTo>
                  <a:pt x="152400" y="0"/>
                </a:lnTo>
                <a:lnTo>
                  <a:pt x="104231" y="7769"/>
                </a:lnTo>
                <a:lnTo>
                  <a:pt x="62396" y="29405"/>
                </a:lnTo>
                <a:lnTo>
                  <a:pt x="29405" y="62396"/>
                </a:lnTo>
                <a:lnTo>
                  <a:pt x="7769" y="104231"/>
                </a:lnTo>
                <a:lnTo>
                  <a:pt x="0" y="152400"/>
                </a:lnTo>
                <a:lnTo>
                  <a:pt x="0" y="248869"/>
                </a:lnTo>
                <a:lnTo>
                  <a:pt x="7769" y="297037"/>
                </a:lnTo>
                <a:lnTo>
                  <a:pt x="29405" y="338872"/>
                </a:lnTo>
                <a:lnTo>
                  <a:pt x="62396" y="371863"/>
                </a:lnTo>
                <a:lnTo>
                  <a:pt x="104231" y="393499"/>
                </a:lnTo>
                <a:lnTo>
                  <a:pt x="152400" y="401269"/>
                </a:lnTo>
                <a:lnTo>
                  <a:pt x="4037584" y="401269"/>
                </a:lnTo>
                <a:lnTo>
                  <a:pt x="4085752" y="393499"/>
                </a:lnTo>
                <a:lnTo>
                  <a:pt x="4127587" y="371863"/>
                </a:lnTo>
                <a:lnTo>
                  <a:pt x="4160578" y="338872"/>
                </a:lnTo>
                <a:lnTo>
                  <a:pt x="4182214" y="297037"/>
                </a:lnTo>
                <a:lnTo>
                  <a:pt x="4189984" y="248869"/>
                </a:lnTo>
                <a:lnTo>
                  <a:pt x="4189984" y="152400"/>
                </a:lnTo>
                <a:lnTo>
                  <a:pt x="4182214" y="104231"/>
                </a:lnTo>
                <a:lnTo>
                  <a:pt x="4160578" y="62396"/>
                </a:lnTo>
                <a:lnTo>
                  <a:pt x="4127587" y="29405"/>
                </a:lnTo>
                <a:lnTo>
                  <a:pt x="4085752" y="7769"/>
                </a:lnTo>
                <a:lnTo>
                  <a:pt x="4037584" y="0"/>
                </a:lnTo>
                <a:close/>
              </a:path>
            </a:pathLst>
          </a:custGeom>
          <a:solidFill>
            <a:srgbClr val="D91E39"/>
          </a:solidFill>
        </xdr:spPr>
      </xdr:sp>
      <xdr:sp macro="" textlink="">
        <xdr:nvSpPr>
          <xdr:cNvPr id="68" name="Textbox 24">
            <a:extLst>
              <a:ext uri="{FF2B5EF4-FFF2-40B4-BE49-F238E27FC236}">
                <a16:creationId xmlns:a16="http://schemas.microsoft.com/office/drawing/2014/main" id="{8023F558-6CD5-09D0-F0BF-64CF8AFE2397}"/>
              </a:ext>
            </a:extLst>
          </xdr:cNvPr>
          <xdr:cNvSpPr txBox="1"/>
        </xdr:nvSpPr>
        <xdr:spPr>
          <a:xfrm>
            <a:off x="0" y="0"/>
            <a:ext cx="4190365" cy="40132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C50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0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Broile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r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Performanc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e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Objective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s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(Metric</a:t>
            </a:r>
            <a:r>
              <a:rPr sz="900" b="1" spc="0">
                <a:solidFill>
                  <a:srgbClr val="FFFFFF"/>
                </a:solidFill>
                <a:latin typeface="Calibri"/>
                <a:cs typeface="Calibri"/>
              </a:rPr>
              <a:t>) - </a:t>
            </a:r>
            <a:r>
              <a:rPr sz="900" b="1" spc="-10">
                <a:solidFill>
                  <a:srgbClr val="FFFFFF"/>
                </a:solidFill>
                <a:latin typeface="Calibri"/>
                <a:cs typeface="Calibri"/>
              </a:rPr>
              <a:t>Male</a:t>
            </a:r>
          </a:p>
        </xdr:txBody>
      </xdr:sp>
    </xdr:grpSp>
    <xdr:clientData/>
  </xdr:oneCellAnchor>
  <xdr:twoCellAnchor>
    <xdr:from>
      <xdr:col>91</xdr:col>
      <xdr:colOff>71437</xdr:colOff>
      <xdr:row>14</xdr:row>
      <xdr:rowOff>123825</xdr:rowOff>
    </xdr:from>
    <xdr:to>
      <xdr:col>102</xdr:col>
      <xdr:colOff>9525</xdr:colOff>
      <xdr:row>32</xdr:row>
      <xdr:rowOff>123825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84ACC131-E32F-45F1-91CD-5DE6671C3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110</xdr:col>
      <xdr:colOff>90486</xdr:colOff>
      <xdr:row>2</xdr:row>
      <xdr:rowOff>9525</xdr:rowOff>
    </xdr:from>
    <xdr:to>
      <xdr:col>120</xdr:col>
      <xdr:colOff>257174</xdr:colOff>
      <xdr:row>19</xdr:row>
      <xdr:rowOff>28575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3317E12B-6748-46D4-A12B-B1D3835AC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23</xdr:row>
      <xdr:rowOff>152400</xdr:rowOff>
    </xdr:from>
    <xdr:to>
      <xdr:col>2</xdr:col>
      <xdr:colOff>7004</xdr:colOff>
      <xdr:row>32</xdr:row>
      <xdr:rowOff>9525</xdr:rowOff>
    </xdr:to>
    <xdr:pic>
      <xdr:nvPicPr>
        <xdr:cNvPr id="71" name="Imagem 7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23BECB7B-2C1A-4FD5-8357-9EDC7D719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"/>
          <a:ext cx="1045229" cy="15716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mva.unesp.br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www.fmva.unesp.br/" TargetMode="Externa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aviagen.com/assets/Tech_Center/BB_Foreign_Language_Docs/Portuguese/Ross308AP-ParentStock-PerformanceObjectives-2021-PT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cobb-vant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7F22-3D82-4776-AE84-38FA0233CF08}">
  <sheetPr codeName="Planilha1">
    <tabColor rgb="FFFFC000"/>
  </sheetPr>
  <dimension ref="A1:O76"/>
  <sheetViews>
    <sheetView showGridLines="0" showRowColHeaders="0" tabSelected="1" zoomScale="110" zoomScaleNormal="110" workbookViewId="0">
      <selection activeCell="A90" sqref="A9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28515625" customWidth="1"/>
    <col min="2" max="2" width="10" customWidth="1"/>
    <col min="3" max="3" width="3" customWidth="1"/>
    <col min="5" max="5" width="3.5703125" customWidth="1"/>
    <col min="6" max="6" width="9.5703125" customWidth="1"/>
    <col min="7" max="7" width="11.7109375" bestFit="1" customWidth="1"/>
    <col min="8" max="9" width="10.42578125" customWidth="1"/>
    <col min="10" max="10" width="11.85546875" customWidth="1"/>
    <col min="11" max="11" width="10.7109375" customWidth="1"/>
    <col min="12" max="12" width="7.85546875" customWidth="1"/>
    <col min="13" max="13" width="13.7109375" customWidth="1"/>
    <col min="14" max="14" width="11.7109375" customWidth="1"/>
    <col min="15" max="15" width="13.5703125" customWidth="1"/>
  </cols>
  <sheetData>
    <row r="1" spans="1:15" ht="33" customHeight="1" x14ac:dyDescent="0.45">
      <c r="F1" s="105" t="s">
        <v>29</v>
      </c>
      <c r="G1" s="105"/>
      <c r="H1" s="105"/>
      <c r="I1" s="105"/>
      <c r="J1" s="105"/>
      <c r="K1" s="105"/>
      <c r="L1" s="105"/>
      <c r="M1" s="105"/>
      <c r="N1" s="105"/>
      <c r="O1" s="105"/>
    </row>
    <row r="2" spans="1:15" ht="7.5" customHeight="1" x14ac:dyDescent="0.25"/>
    <row r="3" spans="1:15" ht="9" customHeight="1" x14ac:dyDescent="0.25"/>
    <row r="5" spans="1:15" x14ac:dyDescent="0.25">
      <c r="G5" s="5"/>
    </row>
    <row r="6" spans="1:15" x14ac:dyDescent="0.25">
      <c r="G6" s="5"/>
    </row>
    <row r="7" spans="1:15" x14ac:dyDescent="0.25">
      <c r="B7" s="6">
        <v>3000</v>
      </c>
      <c r="F7" s="7"/>
      <c r="G7" s="5"/>
    </row>
    <row r="8" spans="1:15" ht="16.5" thickBot="1" x14ac:dyDescent="0.3">
      <c r="F8" s="8"/>
      <c r="G8" s="9" t="s">
        <v>9</v>
      </c>
      <c r="H8" s="9"/>
      <c r="I8" s="8"/>
      <c r="J8" s="8"/>
      <c r="K8" s="8"/>
      <c r="L8" s="8"/>
      <c r="M8" s="9" t="s">
        <v>10</v>
      </c>
      <c r="N8" s="9"/>
      <c r="O8" s="8"/>
    </row>
    <row r="9" spans="1:15" ht="15.75" thickTop="1" x14ac:dyDescent="0.25">
      <c r="E9" s="11"/>
      <c r="F9" s="12"/>
      <c r="G9" s="106" t="s">
        <v>34</v>
      </c>
      <c r="H9" s="106" t="s">
        <v>12</v>
      </c>
      <c r="I9" s="106" t="s">
        <v>14</v>
      </c>
      <c r="J9" s="106" t="s">
        <v>13</v>
      </c>
      <c r="K9" s="106" t="s">
        <v>15</v>
      </c>
      <c r="L9" s="106"/>
      <c r="M9" s="108" t="s">
        <v>36</v>
      </c>
      <c r="N9" s="106" t="s">
        <v>12</v>
      </c>
      <c r="O9" s="110" t="s">
        <v>16</v>
      </c>
    </row>
    <row r="10" spans="1:15" ht="16.5" thickBot="1" x14ac:dyDescent="0.3">
      <c r="A10" s="33" t="s">
        <v>11</v>
      </c>
      <c r="B10" s="20"/>
      <c r="E10" s="11"/>
      <c r="F10" s="12"/>
      <c r="G10" s="107"/>
      <c r="H10" s="107"/>
      <c r="I10" s="107"/>
      <c r="J10" s="107"/>
      <c r="K10" s="107"/>
      <c r="L10" s="107"/>
      <c r="M10" s="109"/>
      <c r="N10" s="107"/>
      <c r="O10" s="111"/>
    </row>
    <row r="11" spans="1:15" ht="21.75" customHeight="1" thickTop="1" thickBot="1" x14ac:dyDescent="0.3">
      <c r="B11" s="32">
        <f>B7/1000</f>
        <v>3</v>
      </c>
      <c r="C11" t="s">
        <v>31</v>
      </c>
      <c r="E11" s="11"/>
      <c r="F11" s="15" t="s">
        <v>17</v>
      </c>
      <c r="G11" s="16">
        <f xml:space="preserve"> (0.1693*B11^3 - 2.1252*B11^2 + 9.5908*B11 + 59.546)*B11*10</f>
        <v>2212.8809999999999</v>
      </c>
      <c r="H11" s="16">
        <f>(0.205*B11^3 - 2.574*B11^2 + 11.619*B11 + 9.34)*B11*10</f>
        <v>796.98</v>
      </c>
      <c r="I11" s="16">
        <f xml:space="preserve"> (0.0493*B11^3 - 0.6226*B11^2 + 2.8291*B11 + 9.8387)*B11*10</f>
        <v>421.61099999999999</v>
      </c>
      <c r="J11" s="16">
        <f xml:space="preserve"> (-0.0068*B11^3 + 0.0873*B11^2 - 0.4017*B11 + 10.3974)*B11*10</f>
        <v>293.83199999999999</v>
      </c>
      <c r="K11" s="16">
        <f xml:space="preserve"> (-0.0071*B11^3 + 0.0945*B11^2 - 0.4484*B11 + 8.5523)*B11*10</f>
        <v>235.97700000000003</v>
      </c>
      <c r="L11" s="16"/>
      <c r="M11" s="16">
        <f xml:space="preserve"> (0.0987*B11^3 - 1.2364*B11^2 + 5.5665*B11 + 9.5436)*B11*10</f>
        <v>533.41200000000003</v>
      </c>
      <c r="N11" s="16">
        <f xml:space="preserve"> (0.205*B11^3 - 2.5744*B11^2 + 11.619*B11 + 9.3403)*B11*10</f>
        <v>796.88099999999986</v>
      </c>
      <c r="O11" s="17">
        <f>(0.3021*B11^3 - 3.7955*B11^2 + 17.142*B11 + 18.922)*B11*10</f>
        <v>1330.3560000000002</v>
      </c>
    </row>
    <row r="12" spans="1:15" ht="8.25" customHeight="1" thickTop="1" x14ac:dyDescent="0.25">
      <c r="E12" s="11"/>
      <c r="F12" s="15"/>
      <c r="G12" s="12"/>
      <c r="H12" s="12"/>
      <c r="I12" s="12"/>
      <c r="J12" s="12"/>
      <c r="K12" s="12"/>
      <c r="L12" s="12"/>
      <c r="M12" s="12"/>
      <c r="N12" s="12"/>
      <c r="O12" s="13"/>
    </row>
    <row r="13" spans="1:15" ht="15.75" x14ac:dyDescent="0.25">
      <c r="E13" s="11"/>
      <c r="F13" s="15" t="s">
        <v>18</v>
      </c>
      <c r="G13" s="16">
        <f>IF($B$11&lt;=4.04,(0.2863*B11^3-3.1655*B11^2+12.719*B11+56.974)*B11*10," ")</f>
        <v>2231.1479999999992</v>
      </c>
      <c r="H13" s="16">
        <f>IF($B$11&lt;=4.04,((0.3766*B11^3-4.1552*B11^2+16.657*B11+5.9973)*B11*10)," ")</f>
        <v>862.19100000000014</v>
      </c>
      <c r="I13" s="16">
        <f>IF($B$11&lt;=4.04,((0.0452*B11^3-0.5031*B11^2+2.04*B11+10.973)*B11*10)," ")</f>
        <v>413.56500000000005</v>
      </c>
      <c r="J13" s="16">
        <f>IF($B$11&lt;=4.04,( (-0.031*B11^3 + 0.3206*B11^2 - 1.2086*B11 + 10.768)*B11*10)," ")</f>
        <v>275.71800000000002</v>
      </c>
      <c r="K13" s="16">
        <f>IF($B$11&lt;=4.04,( (-0.0146*B11^3 + 0.1607*B11^2 - 0.6485*B11 + 8.7135)*B11*10)," ")</f>
        <v>234.60300000000001</v>
      </c>
      <c r="L13" s="16"/>
      <c r="M13" s="16">
        <f>IF($B$11&lt;=4.04,( (0.0444*B11^3 - 0.4973*B11^2 + 2.0168*B11 + 14.118)*B11*10)," ")</f>
        <v>506.745</v>
      </c>
      <c r="N13" s="16">
        <f>IF($B$11&lt;=4.04,( (0.3766*B11^3 - 4.1552*B11^2 + 16.657*B11 + 5.9973)*B11*10)," ")</f>
        <v>862.19100000000014</v>
      </c>
      <c r="O13" s="17">
        <f>IF($B$11&lt;=4.04,( (0.417*B11^3 - 4.6162*B11^2 + 18.57*B11 + 20.209)*B11*10)," ")</f>
        <v>1368.9659999999999</v>
      </c>
    </row>
    <row r="14" spans="1:15" ht="11.25" customHeight="1" x14ac:dyDescent="0.25">
      <c r="E14" s="11"/>
      <c r="F14" s="15"/>
      <c r="G14" s="16"/>
      <c r="H14" s="16"/>
      <c r="I14" s="16"/>
      <c r="J14" s="16"/>
      <c r="K14" s="16"/>
      <c r="L14" s="16"/>
      <c r="M14" s="16"/>
      <c r="N14" s="16"/>
      <c r="O14" s="17"/>
    </row>
    <row r="15" spans="1:15" ht="16.5" thickBot="1" x14ac:dyDescent="0.3">
      <c r="E15" s="11"/>
      <c r="F15" s="34" t="s">
        <v>30</v>
      </c>
      <c r="G15" s="18">
        <f>IF($B$11&lt;=4.04,((G11+G13)/2)," ")</f>
        <v>2222.0144999999993</v>
      </c>
      <c r="H15" s="18">
        <f>IF($B$11&lt;=4.04,((H11+H13)/2)," ")</f>
        <v>829.58550000000014</v>
      </c>
      <c r="I15" s="18">
        <f>IF($B$11&lt;=4.04,((I11+I13)/2)," ")</f>
        <v>417.58800000000002</v>
      </c>
      <c r="J15" s="18">
        <f>IF($B$11&lt;=4.04,((J11+J13)/2)," ")</f>
        <v>284.77499999999998</v>
      </c>
      <c r="K15" s="18">
        <f>IF($B$11&lt;=4.04,((K11+K13)/2)," ")</f>
        <v>235.29000000000002</v>
      </c>
      <c r="L15" s="18"/>
      <c r="M15" s="18">
        <f>IF($B$11&lt;=4.04,((M11+M13)/2)," ")</f>
        <v>520.07850000000008</v>
      </c>
      <c r="N15" s="18">
        <f>IF($B$11&lt;=4.04,((N11+N13)/2)," ")</f>
        <v>829.53600000000006</v>
      </c>
      <c r="O15" s="19">
        <f>IF($B$11&lt;=4.04,((O11+O13)/2)," ")</f>
        <v>1349.6610000000001</v>
      </c>
    </row>
    <row r="16" spans="1:15" ht="15.75" thickTop="1" x14ac:dyDescent="0.25">
      <c r="A16" s="37"/>
      <c r="B16" s="37"/>
      <c r="C16" s="37"/>
      <c r="D16" s="37"/>
      <c r="E16" s="37"/>
      <c r="F16" s="38"/>
      <c r="G16" s="37"/>
      <c r="H16" s="37"/>
      <c r="I16" s="37"/>
      <c r="J16" s="37"/>
      <c r="K16" s="37"/>
      <c r="L16" s="37"/>
      <c r="M16" s="37"/>
      <c r="N16" s="37"/>
      <c r="O16" s="37"/>
    </row>
    <row r="17" spans="1:15" ht="9" customHeight="1" x14ac:dyDescent="0.25">
      <c r="F17" s="20"/>
      <c r="O17" s="39"/>
    </row>
    <row r="18" spans="1:15" ht="16.5" thickBot="1" x14ac:dyDescent="0.3">
      <c r="F18" s="21"/>
      <c r="G18" s="9" t="s">
        <v>9</v>
      </c>
      <c r="H18" s="9"/>
      <c r="I18" s="8"/>
      <c r="J18" s="8"/>
      <c r="K18" s="8"/>
      <c r="L18" s="8"/>
      <c r="M18" s="9" t="s">
        <v>10</v>
      </c>
      <c r="N18" s="9"/>
      <c r="O18" s="8"/>
    </row>
    <row r="19" spans="1:15" ht="16.5" thickTop="1" thickBot="1" x14ac:dyDescent="0.3">
      <c r="B19" s="8"/>
      <c r="E19" s="11"/>
      <c r="F19" s="22"/>
      <c r="G19" s="112" t="s">
        <v>34</v>
      </c>
      <c r="H19" s="112" t="s">
        <v>12</v>
      </c>
      <c r="I19" s="112" t="s">
        <v>14</v>
      </c>
      <c r="J19" s="112" t="s">
        <v>13</v>
      </c>
      <c r="K19" s="112" t="s">
        <v>15</v>
      </c>
      <c r="L19" s="112"/>
      <c r="M19" s="116" t="s">
        <v>36</v>
      </c>
      <c r="N19" s="112" t="s">
        <v>12</v>
      </c>
      <c r="O19" s="114" t="s">
        <v>16</v>
      </c>
    </row>
    <row r="20" spans="1:15" ht="21.75" customHeight="1" thickTop="1" thickBot="1" x14ac:dyDescent="0.3">
      <c r="A20" s="31" t="s">
        <v>19</v>
      </c>
      <c r="B20" s="30">
        <v>35</v>
      </c>
      <c r="D20" s="10" t="s">
        <v>11</v>
      </c>
      <c r="E20" s="11"/>
      <c r="F20" s="22"/>
      <c r="G20" s="113"/>
      <c r="H20" s="113"/>
      <c r="I20" s="113"/>
      <c r="J20" s="113"/>
      <c r="K20" s="113"/>
      <c r="L20" s="113"/>
      <c r="M20" s="117"/>
      <c r="N20" s="113"/>
      <c r="O20" s="115"/>
    </row>
    <row r="21" spans="1:15" ht="21" thickTop="1" x14ac:dyDescent="0.25">
      <c r="A21" s="10"/>
      <c r="C21" s="10"/>
      <c r="D21" s="14">
        <f xml:space="preserve"> -0.00002267*B20^3 + 0.00282503*B20^2 - 0.0017464*B20 + 0.07835695</f>
        <v>2.5059184500000002</v>
      </c>
      <c r="E21" s="11" t="s">
        <v>31</v>
      </c>
      <c r="F21" s="25" t="s">
        <v>17</v>
      </c>
      <c r="G21" s="26">
        <f>IF(AND(D21&gt;=1.6,D21&lt;=4.86), (0.1693*D21^3 - 2.1252*D21^2 + 9.5908*D21 + 59.546)*D21*10," ")</f>
        <v>1826.7755371756052</v>
      </c>
      <c r="H21" s="26">
        <f>IF(AND(D21&gt;=1.6,D21&lt;=4.86),(0.205*D21^3 - 2.574*D21^2 + 11.619*D21 + 9.34)*D21*10," ")</f>
        <v>639.47114067412247</v>
      </c>
      <c r="I21" s="26">
        <f>IF(AND(D21&gt;=1.6,D21&lt;=4.86), (0.0493*D21^3 - 0.6226*D21^2 + 2.8291*D21 + 9.8387)*D21*10," ")</f>
        <v>345.67376522542105</v>
      </c>
      <c r="J21" s="26">
        <f>IF(AND(D21&gt;=1.6,D21&lt;=4.86), (-0.0068*D21^3 + 0.0873*D21^2 - 0.4017*D21 + 10.3974)*D21*10," ")</f>
        <v>246.38134142486822</v>
      </c>
      <c r="K21" s="26">
        <f>IF(AND(D21&gt;=1.6,D21&lt;=4.86), (-0.0071*D21^3 + 0.0945*D21^2 - 0.4484*D21 + 8.5523)*D21*10," ")</f>
        <v>198.22676184638868</v>
      </c>
      <c r="L21" s="26"/>
      <c r="M21" s="26">
        <f>IF(AND(D21&gt;=1.6,D21&lt;=4.86), (0.0987*D21^3 - 1.2364*D21^2 + 5.5665*D21 + 9.5436)*D21*10," ")</f>
        <v>433.06857064877789</v>
      </c>
      <c r="N21" s="26">
        <f>IF(AND(D21&gt;=1.6,D21&lt;=4.86), (0.205*D21^3 - 2.5744*D21^2 + 11.619*D21 + 9.3403)*D21*10," ")</f>
        <v>639.41571349405172</v>
      </c>
      <c r="O21" s="27">
        <f>IF(AND(D21&gt;=1.6,D21&lt;=4.86),(0.3021*D21^3 - 3.7955*D21^2 + 17.142*D21 + 18.922)*D21*10," ")</f>
        <v>1072.4841054861517</v>
      </c>
    </row>
    <row r="22" spans="1:15" ht="7.5" customHeight="1" x14ac:dyDescent="0.25">
      <c r="B22" s="14"/>
      <c r="E22" s="11"/>
      <c r="F22" s="25"/>
      <c r="G22" s="23"/>
      <c r="H22" s="23"/>
      <c r="I22" s="23"/>
      <c r="J22" s="23"/>
      <c r="K22" s="23"/>
      <c r="L22" s="23"/>
      <c r="M22" s="23"/>
      <c r="N22" s="23"/>
      <c r="O22" s="24"/>
    </row>
    <row r="23" spans="1:15" ht="20.25" x14ac:dyDescent="0.25">
      <c r="C23" s="10"/>
      <c r="D23" s="14">
        <f xml:space="preserve"> -0.0000204*B20^3 + 0.00231466*B20^2 + 0.00523013*B20 + 0.06245183</f>
        <v>2.2063148800000003</v>
      </c>
      <c r="E23" s="11" t="s">
        <v>31</v>
      </c>
      <c r="F23" s="25" t="s">
        <v>18</v>
      </c>
      <c r="G23" s="26">
        <f>IF(AND(D23&gt;=1.6,D23&lt;=4.04),(0.2863*D23^3-3.1655*D23^2+12.719*D23+56.974)*D23*10," ")</f>
        <v>1604.0321113030611</v>
      </c>
      <c r="H23" s="26">
        <f>IF(AND(D23&gt;=1.6,D23&lt;=4.04), (0.3766*D23^3 - 4.1552*D23^2 + 16.657*D23 + 5.9973)*D23*10," ")</f>
        <v>586.12445497799672</v>
      </c>
      <c r="I23" s="26">
        <f>IF(AND(D23&gt;=1.6,D23&lt;=4.04), (0.0452*D23^3 - 0.5031*D23^2 + 2.04*D23+ 10.973)*D23*10," ")</f>
        <v>298.08031986751888</v>
      </c>
      <c r="J23" s="26">
        <f>IF(AND(D23&gt;=1.6,D23&lt;=4.04), (-0.031*D23^3 + 0.3206*D23^2 - 1.2086*D23 + 10.768)*D23*10," ")</f>
        <v>205.83007211526734</v>
      </c>
      <c r="K23" s="26">
        <f>IF(AND(D23&gt;=1.6,D23&lt;=4.04), (-0.0146*D23^3 + 0.1607*D23^2 - 0.6485*D23 + 8.7135)*D23*10," ")</f>
        <v>174.47893251738878</v>
      </c>
      <c r="L23" s="26"/>
      <c r="M23" s="26">
        <f>IF(AND(D23&gt;=1.6,D23&lt;=4.04), (0.0444*D23^3 - 0.4973*D23^2 + 2.0168*D23 + 14.118)*D23*10," ")</f>
        <v>366.77293899243784</v>
      </c>
      <c r="N23" s="26">
        <f>IF(AND(D23&gt;=1.6,D23&lt;=4.04), (0.3766*D23^3 - 4.1552*D23^2 + 16.657*D23 + 5.9973)*D23*10," ")</f>
        <v>586.12445497799672</v>
      </c>
      <c r="O23" s="27">
        <f>IF(AND(D23&gt;=1.6,D23&lt;=4.04), (0.417*D23^3 - 4.6162*D23^2 + 18.57*D23 + 20.209)*D23*10," ")</f>
        <v>952.86268320192198</v>
      </c>
    </row>
    <row r="24" spans="1:15" ht="6.75" customHeight="1" x14ac:dyDescent="0.25">
      <c r="E24" s="11"/>
      <c r="F24" s="25"/>
      <c r="G24" s="26"/>
      <c r="H24" s="26"/>
      <c r="I24" s="26"/>
      <c r="J24" s="26"/>
      <c r="K24" s="26"/>
      <c r="L24" s="26"/>
      <c r="M24" s="26"/>
      <c r="N24" s="26"/>
      <c r="O24" s="27"/>
    </row>
    <row r="25" spans="1:15" ht="21" thickBot="1" x14ac:dyDescent="0.3">
      <c r="C25" s="10"/>
      <c r="D25" s="14">
        <f xml:space="preserve"> -0.00002154*B20^3 + 0.00257059*B20^2 + 0.00171433*B20 + 0.07061066</f>
        <v>2.3560574600000002</v>
      </c>
      <c r="E25" s="11" t="s">
        <v>31</v>
      </c>
      <c r="F25" s="35" t="s">
        <v>30</v>
      </c>
      <c r="G25" s="28">
        <f>IF(D23&gt;=1.6,(G21+G23)/2," ")</f>
        <v>1715.4038242393331</v>
      </c>
      <c r="H25" s="28">
        <f>IF(D23&gt;=1.6,(H21+H23)/2," ")</f>
        <v>612.79779782605965</v>
      </c>
      <c r="I25" s="28">
        <f>IF(D23&gt;=1.6,(I21+I23)/2," ")</f>
        <v>321.87704254646997</v>
      </c>
      <c r="J25" s="28">
        <f>IF(D23&gt;=1.6,(J21+J23)/2," ")</f>
        <v>226.1057067700678</v>
      </c>
      <c r="K25" s="28">
        <f>IF(D23&gt;=1.6,(K21+K23)/2," ")</f>
        <v>186.35284718188873</v>
      </c>
      <c r="L25" s="28"/>
      <c r="M25" s="28">
        <f>IF(D23&gt;=1.6,(M21+M23)/2," ")</f>
        <v>399.92075482060784</v>
      </c>
      <c r="N25" s="28">
        <f>IF(D23&gt;=1.6,(N21+N23)/2," ")</f>
        <v>612.77008423602422</v>
      </c>
      <c r="O25" s="29">
        <f>IF(D23&gt;=1.6,(O21+O23)/2," ")</f>
        <v>1012.6733943440369</v>
      </c>
    </row>
    <row r="26" spans="1:15" ht="16.5" thickTop="1" thickBo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5" ht="15.75" thickTop="1" x14ac:dyDescent="0.25">
      <c r="J27" s="41"/>
    </row>
    <row r="34" spans="1:15" x14ac:dyDescent="0.25">
      <c r="A34" t="s">
        <v>20</v>
      </c>
    </row>
    <row r="35" spans="1:15" x14ac:dyDescent="0.25">
      <c r="A35" s="104" t="s">
        <v>32</v>
      </c>
      <c r="B35" s="104"/>
      <c r="C35" s="104"/>
      <c r="D35" s="104"/>
      <c r="E35" s="104"/>
      <c r="F35" s="104"/>
      <c r="G35" s="104"/>
      <c r="H35" s="104"/>
    </row>
    <row r="36" spans="1:15" x14ac:dyDescent="0.25">
      <c r="A36" s="104" t="s">
        <v>101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</row>
    <row r="38" spans="1:15" x14ac:dyDescent="0.25">
      <c r="A38" s="103" t="s">
        <v>33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</row>
    <row r="39" spans="1:15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</row>
    <row r="40" spans="1:15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15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76" spans="1:14" x14ac:dyDescent="0.25">
      <c r="A76" s="104" t="s">
        <v>101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</row>
  </sheetData>
  <sheetProtection algorithmName="SHA-512" hashValue="MKPer8DCdA1JvAcePVDFGX43JbJZUQDSuEXG9qJLPrlnpTylZ4ySZCjKxzJ6AVi7cuokdO4NsqA8bQrjRUXrYg==" saltValue="hxif/C4rfgCxueMN7a2OGg==" spinCount="100000" sheet="1" objects="1" scenarios="1"/>
  <mergeCells count="23">
    <mergeCell ref="I19:I20"/>
    <mergeCell ref="O19:O20"/>
    <mergeCell ref="J19:J20"/>
    <mergeCell ref="K19:K20"/>
    <mergeCell ref="L19:L20"/>
    <mergeCell ref="M19:M20"/>
    <mergeCell ref="N19:N20"/>
    <mergeCell ref="A38:O40"/>
    <mergeCell ref="A35:H35"/>
    <mergeCell ref="A36:N36"/>
    <mergeCell ref="A76:N76"/>
    <mergeCell ref="F1:O1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G19:G20"/>
    <mergeCell ref="H19:H20"/>
  </mergeCells>
  <hyperlinks>
    <hyperlink ref="A35" r:id="rId1" location="!/ensino/corpo-docente/ " xr:uid="{AA9E1D5B-3946-4785-ABF8-B9ED81A62BB3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Spinner 1">
              <controlPr defaultSize="0" autoPict="0">
                <anchor moveWithCells="1" sizeWithCells="1">
                  <from>
                    <xdr:col>1</xdr:col>
                    <xdr:colOff>114300</xdr:colOff>
                    <xdr:row>11</xdr:row>
                    <xdr:rowOff>47625</xdr:rowOff>
                  </from>
                  <to>
                    <xdr:col>1</xdr:col>
                    <xdr:colOff>581025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Spinner 2">
              <controlPr defaultSize="0" autoPict="0">
                <anchor moveWithCells="1" sizeWithCells="1">
                  <from>
                    <xdr:col>1</xdr:col>
                    <xdr:colOff>114300</xdr:colOff>
                    <xdr:row>20</xdr:row>
                    <xdr:rowOff>85725</xdr:rowOff>
                  </from>
                  <to>
                    <xdr:col>1</xdr:col>
                    <xdr:colOff>581025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EC5D-ACB4-4143-9CA1-F5B06CE16177}">
  <sheetPr>
    <tabColor rgb="FFFFC000"/>
  </sheetPr>
  <dimension ref="A1:Q102"/>
  <sheetViews>
    <sheetView showGridLines="0" showRowColHeaders="0" zoomScale="110" zoomScaleNormal="110" workbookViewId="0">
      <selection activeCell="A40" sqref="A4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28515625" style="42" customWidth="1"/>
    <col min="2" max="2" width="10" style="42" customWidth="1"/>
    <col min="3" max="3" width="2" style="42" customWidth="1"/>
    <col min="4" max="4" width="17" style="42" customWidth="1"/>
    <col min="5" max="5" width="2.42578125" style="42" customWidth="1"/>
    <col min="6" max="6" width="9.5703125" style="42" customWidth="1"/>
    <col min="7" max="7" width="12.85546875" style="42" customWidth="1"/>
    <col min="8" max="8" width="11.5703125" style="42" customWidth="1"/>
    <col min="9" max="12" width="12.5703125" style="42" customWidth="1"/>
    <col min="13" max="13" width="11.85546875" style="42" customWidth="1"/>
    <col min="14" max="14" width="11.140625" style="42" customWidth="1"/>
    <col min="15" max="15" width="10.140625" style="42" customWidth="1"/>
    <col min="16" max="17" width="9.140625" style="42"/>
  </cols>
  <sheetData>
    <row r="1" spans="1:15" ht="21.75" x14ac:dyDescent="0.35">
      <c r="A1"/>
      <c r="B1"/>
      <c r="C1"/>
      <c r="D1"/>
      <c r="E1"/>
      <c r="F1" s="123" t="s">
        <v>29</v>
      </c>
      <c r="G1" s="123"/>
      <c r="H1" s="123"/>
      <c r="I1" s="123"/>
      <c r="J1" s="123"/>
      <c r="K1" s="123"/>
      <c r="L1" s="123"/>
      <c r="M1" s="102"/>
      <c r="N1" s="102"/>
      <c r="O1" s="102"/>
    </row>
    <row r="2" spans="1:15" x14ac:dyDescent="0.25">
      <c r="A2"/>
      <c r="B2"/>
      <c r="C2"/>
      <c r="D2"/>
      <c r="E2"/>
      <c r="F2" s="123"/>
      <c r="G2" s="123"/>
      <c r="H2" s="123"/>
      <c r="I2" s="123"/>
      <c r="J2" s="123"/>
      <c r="K2" s="123"/>
      <c r="L2" s="123"/>
      <c r="M2"/>
      <c r="N2"/>
      <c r="O2"/>
    </row>
    <row r="3" spans="1:15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spans="1:15" x14ac:dyDescent="0.25">
      <c r="A5"/>
      <c r="B5"/>
      <c r="C5"/>
      <c r="D5"/>
      <c r="E5"/>
      <c r="F5"/>
      <c r="G5" s="5"/>
      <c r="H5"/>
      <c r="I5"/>
      <c r="J5"/>
      <c r="K5"/>
      <c r="L5"/>
      <c r="M5"/>
      <c r="N5"/>
      <c r="O5"/>
    </row>
    <row r="6" spans="1:15" x14ac:dyDescent="0.25">
      <c r="A6"/>
      <c r="B6"/>
      <c r="C6"/>
      <c r="D6"/>
      <c r="E6"/>
      <c r="F6"/>
      <c r="G6" s="5"/>
      <c r="H6"/>
      <c r="I6"/>
      <c r="J6"/>
      <c r="K6"/>
      <c r="L6"/>
      <c r="M6"/>
      <c r="N6"/>
      <c r="O6"/>
    </row>
    <row r="7" spans="1:15" x14ac:dyDescent="0.25">
      <c r="A7"/>
      <c r="B7" s="6"/>
      <c r="C7"/>
      <c r="D7"/>
      <c r="E7"/>
      <c r="F7" s="7"/>
      <c r="G7" s="5"/>
      <c r="H7"/>
      <c r="I7"/>
      <c r="J7"/>
      <c r="K7"/>
      <c r="L7"/>
      <c r="M7"/>
      <c r="N7"/>
      <c r="O7"/>
    </row>
    <row r="8" spans="1:15" ht="16.5" thickBot="1" x14ac:dyDescent="0.3">
      <c r="A8"/>
      <c r="B8"/>
      <c r="C8"/>
      <c r="D8"/>
      <c r="E8"/>
      <c r="F8" s="8"/>
      <c r="G8" s="9" t="s">
        <v>9</v>
      </c>
      <c r="H8" s="9"/>
      <c r="I8" s="8"/>
      <c r="J8" s="8"/>
      <c r="K8" s="8"/>
      <c r="L8" s="8"/>
      <c r="M8"/>
      <c r="N8"/>
      <c r="O8"/>
    </row>
    <row r="9" spans="1:15" ht="15.75" thickTop="1" x14ac:dyDescent="0.25">
      <c r="A9"/>
      <c r="B9"/>
      <c r="C9"/>
      <c r="D9"/>
      <c r="E9" s="11"/>
      <c r="F9" s="12"/>
      <c r="G9" s="108" t="s">
        <v>34</v>
      </c>
      <c r="H9" s="108" t="s">
        <v>35</v>
      </c>
      <c r="I9" s="108" t="s">
        <v>36</v>
      </c>
      <c r="J9" s="108" t="s">
        <v>14</v>
      </c>
      <c r="K9" s="108" t="s">
        <v>13</v>
      </c>
      <c r="L9" s="121" t="s">
        <v>15</v>
      </c>
    </row>
    <row r="10" spans="1:15" ht="16.5" thickBot="1" x14ac:dyDescent="0.3">
      <c r="A10" s="33" t="s">
        <v>11</v>
      </c>
      <c r="B10" s="20"/>
      <c r="C10"/>
      <c r="D10"/>
      <c r="E10" s="11"/>
      <c r="F10" s="12"/>
      <c r="G10" s="109"/>
      <c r="H10" s="109"/>
      <c r="I10" s="109"/>
      <c r="J10" s="109"/>
      <c r="K10" s="109"/>
      <c r="L10" s="122"/>
    </row>
    <row r="11" spans="1:15" ht="21.75" thickTop="1" thickBot="1" x14ac:dyDescent="0.3">
      <c r="A11"/>
      <c r="B11" s="97">
        <v>3000</v>
      </c>
      <c r="C11" s="98" t="s">
        <v>37</v>
      </c>
      <c r="D11"/>
      <c r="E11" s="11"/>
      <c r="F11" s="15" t="s">
        <v>17</v>
      </c>
      <c r="G11" s="16">
        <f xml:space="preserve"> (0.00000000006305*B11^3 - 0.00000078009844*B11^2 + 0.00456081116419*B11 + 67.3821883597215)*B11/100</f>
        <v>2272.3825767687445</v>
      </c>
      <c r="H11" s="16">
        <f xml:space="preserve"> (0.00000000004888*B11^3 - 0.00000073772933*B11^2 + 0.00472906293333*B11 + 17.0056339057414)*B11/100</f>
        <v>776.19056207194194</v>
      </c>
      <c r="I11" s="16">
        <f xml:space="preserve"> (0.0000000000231*B11^3 - 0.00000035515991*B11^2 + 0.00233031727429*B11 + 19.1319080928709)*B11/100</f>
        <v>706.50362177222701</v>
      </c>
      <c r="J11" s="16">
        <f xml:space="preserve"> (0.00000000001518*B11^3 - 0.00000025425883*B11^2 + 0.00176284479164*B11 + 10.4266484600639)*B11/100</f>
        <v>415.10140094951703</v>
      </c>
      <c r="K11" s="16">
        <f xml:space="preserve"> (0.00000000000792*B11^3 - 0.00000010090108*B11^2 + 0.00056747248265*B11 + 8.70525963280771)*B11/100</f>
        <v>291.40222082273129</v>
      </c>
      <c r="L11" s="17">
        <f xml:space="preserve"> (0.00000000000059*B11^3 - 0.00000003421491*B11^2 + 0.00033317475019*B11 + 6.95030320401411)*B11/100</f>
        <v>229.73469793752329</v>
      </c>
    </row>
    <row r="12" spans="1:15" ht="16.5" thickTop="1" x14ac:dyDescent="0.25">
      <c r="A12"/>
      <c r="B12"/>
      <c r="C12"/>
      <c r="D12"/>
      <c r="E12" s="11"/>
      <c r="F12" s="15"/>
      <c r="G12" s="12"/>
      <c r="H12" s="12"/>
      <c r="I12" s="12"/>
      <c r="J12" s="16"/>
      <c r="K12" s="12"/>
      <c r="L12" s="13"/>
    </row>
    <row r="13" spans="1:15" ht="15.75" x14ac:dyDescent="0.25">
      <c r="A13"/>
      <c r="B13"/>
      <c r="C13"/>
      <c r="D13"/>
      <c r="E13" s="11"/>
      <c r="F13" s="15" t="s">
        <v>18</v>
      </c>
      <c r="G13" s="16">
        <f xml:space="preserve"> (0.00000000005636*B11^3 - 0.00000072051463*B11^2 + 0.00395703263506*B11 + 69.2136240475132)*B11/100</f>
        <v>2283.6543084807963</v>
      </c>
      <c r="H13" s="16">
        <f xml:space="preserve"> (0.00000000002241*B11^3 - 0.00000054111488*B11^2 + 0.00489823192851*B11 + 16.8783261739175)*B11/100</f>
        <v>819.24174118342501</v>
      </c>
      <c r="I13" s="16">
        <f xml:space="preserve"> (0.00000000001934*B11^3 - 0.00000023500806*B11^2 + 0.00104798634062*B11 + 21.1456768452721)*B11/100</f>
        <v>680.90229981396305</v>
      </c>
      <c r="J13" s="16">
        <f xml:space="preserve"> (0.00000000002728*B11^3 - 0.00000031416543*B11^2 + 0.0013766032695*B11 + 11.6533705956901)*B11/100</f>
        <v>410.76754602570304</v>
      </c>
      <c r="K13" s="16">
        <f xml:space="preserve"> (0.00000000000002*B11^4 - 0.00000000022592*B11^3 + 0.0000010118837*B11^2 - 0.00203382224395*B11 + 10.6124072783889)*B11/100</f>
        <v>274.14161539616697</v>
      </c>
      <c r="L13" s="17">
        <f xml:space="preserve"> (-0.00000000000511*B11^3 + 0.00000006840437*B11^2 - 0.00038884770939*B11 + 8.19504057568534)*B11/100</f>
        <v>225.1850033254602</v>
      </c>
    </row>
    <row r="14" spans="1:15" ht="15.75" x14ac:dyDescent="0.25">
      <c r="A14"/>
      <c r="B14"/>
      <c r="C14"/>
      <c r="D14"/>
      <c r="E14" s="11"/>
      <c r="F14" s="15"/>
      <c r="G14" s="16"/>
      <c r="H14" s="16"/>
      <c r="I14" s="16"/>
      <c r="J14" s="16"/>
      <c r="K14" s="16"/>
      <c r="L14" s="17"/>
      <c r="M14" s="43"/>
    </row>
    <row r="15" spans="1:15" ht="16.5" thickBot="1" x14ac:dyDescent="0.3">
      <c r="A15"/>
      <c r="B15"/>
      <c r="C15"/>
      <c r="D15"/>
      <c r="E15" s="11"/>
      <c r="F15" s="34" t="s">
        <v>30</v>
      </c>
      <c r="G15" s="18">
        <f xml:space="preserve"> (0.00000000006009*B11^3 - 0.00000075314475*B11^2 + 0.00426427593118*B11 + 68.297172192741)*B11/100</f>
        <v>2278.02381708843</v>
      </c>
      <c r="H15" s="18">
        <f xml:space="preserve"> (0.0000000000365*B11^3 - 0.00000064520812*B11^2 + 0.00482439980426*B11 + 16.9393008876879)*B11/100</f>
        <v>797.7338166140371</v>
      </c>
      <c r="I15" s="18">
        <f xml:space="preserve"> (0.00000000002961*B11^3 - 0.00000036733006*B11^2 + 0.00189729147357*B11 + 19.9694431561989)*B11/100</f>
        <v>694.64451110726702</v>
      </c>
      <c r="J15" s="18">
        <f xml:space="preserve"> (0.00000000002771*B11^3 - 0.00000034026146*B11^2 + 0.00173531938409*B11 + 10.9020261712183)*B11/100</f>
        <v>413.81403550464893</v>
      </c>
      <c r="K15" s="18">
        <f xml:space="preserve"> (0.0000000000019*B11^3 - 0.0000000270686*B11^2 + 0.00016197208948*B11 + 9.06741698497887)*B11/100</f>
        <v>280.83047560256614</v>
      </c>
      <c r="L15" s="19">
        <f xml:space="preserve"> (-0.0000000000004*B11^3 - 0.00000000075588*B11^2 + 0.00002732307545*B11 + 7.51844574325399)*B11/100</f>
        <v>227.48436148811967</v>
      </c>
    </row>
    <row r="16" spans="1:15" ht="15.75" thickTop="1" x14ac:dyDescent="0.25">
      <c r="A16" s="37"/>
      <c r="B16" s="37"/>
      <c r="C16" s="37"/>
      <c r="D16" s="37"/>
      <c r="E16" s="37"/>
      <c r="F16" s="38"/>
      <c r="G16" s="37"/>
      <c r="H16" s="37"/>
      <c r="I16" s="37"/>
      <c r="J16" s="37"/>
      <c r="K16" s="37"/>
      <c r="L16" s="37"/>
      <c r="M16"/>
      <c r="N16"/>
      <c r="O16"/>
    </row>
    <row r="17" spans="1:15" x14ac:dyDescent="0.25">
      <c r="A17"/>
      <c r="B17"/>
      <c r="C17"/>
      <c r="D17"/>
      <c r="E17"/>
      <c r="F17" s="20"/>
      <c r="G17"/>
      <c r="H17"/>
      <c r="I17"/>
      <c r="J17"/>
      <c r="K17"/>
      <c r="L17"/>
      <c r="M17"/>
      <c r="N17"/>
      <c r="O17"/>
    </row>
    <row r="18" spans="1:15" ht="16.5" thickBot="1" x14ac:dyDescent="0.3">
      <c r="A18"/>
      <c r="B18"/>
      <c r="C18"/>
      <c r="D18"/>
      <c r="E18"/>
      <c r="F18" s="21"/>
      <c r="G18" s="9" t="s">
        <v>9</v>
      </c>
      <c r="H18" s="9"/>
      <c r="I18" s="8"/>
      <c r="J18" s="8"/>
      <c r="K18" s="8"/>
      <c r="L18" s="8"/>
      <c r="M18"/>
      <c r="N18"/>
      <c r="O18"/>
    </row>
    <row r="19" spans="1:15" ht="16.5" thickTop="1" thickBot="1" x14ac:dyDescent="0.3">
      <c r="A19"/>
      <c r="B19" s="8"/>
      <c r="C19"/>
      <c r="D19"/>
      <c r="E19" s="11"/>
      <c r="F19" s="22"/>
      <c r="G19" s="116" t="s">
        <v>34</v>
      </c>
      <c r="H19" s="116" t="s">
        <v>35</v>
      </c>
      <c r="I19" s="116" t="s">
        <v>36</v>
      </c>
      <c r="J19" s="116" t="s">
        <v>14</v>
      </c>
      <c r="K19" s="116" t="s">
        <v>13</v>
      </c>
      <c r="L19" s="119" t="s">
        <v>15</v>
      </c>
    </row>
    <row r="20" spans="1:15" ht="21.75" thickTop="1" thickBot="1" x14ac:dyDescent="0.3">
      <c r="A20" s="31" t="s">
        <v>19</v>
      </c>
      <c r="B20" s="30">
        <v>35</v>
      </c>
      <c r="C20"/>
      <c r="D20" s="99" t="s">
        <v>11</v>
      </c>
      <c r="E20" s="11"/>
      <c r="F20" s="22"/>
      <c r="G20" s="117"/>
      <c r="H20" s="117"/>
      <c r="I20" s="117"/>
      <c r="J20" s="117"/>
      <c r="K20" s="117"/>
      <c r="L20" s="120"/>
    </row>
    <row r="21" spans="1:15" ht="21" thickTop="1" x14ac:dyDescent="0.25">
      <c r="A21" s="10"/>
      <c r="B21"/>
      <c r="C21" s="10"/>
      <c r="D21" s="100">
        <f xml:space="preserve"> -0.02752836053101*B20^3 + 3.07613102471419*B20^2 + 1.55431389077785*B20 + 52.1456622274709</f>
        <v>2694.5286959125242</v>
      </c>
      <c r="E21" s="44" t="s">
        <v>37</v>
      </c>
      <c r="F21" s="25" t="s">
        <v>17</v>
      </c>
      <c r="G21" s="26">
        <f>IF(AND(D21&gt;=1590,D21&lt;=4320),(0.00000000006305*D21^3-0.00000078009844*D21^2+0.00456081116419*D21+67.3821883597215)*D21/100," ")</f>
        <v>2027.3907674015081</v>
      </c>
      <c r="H21" s="26">
        <f>IF(AND(D21&gt;=1590,D21&lt;=4320), (0.00000000004888*D21^3 - 0.00000073772933*D21^2 + 0.00472906293333*D21 + 17.0056339057414)*D21/100," ")</f>
        <v>683.01519809696708</v>
      </c>
      <c r="I21" s="26">
        <f>IF(AND(D21&gt;=1590,D21&lt;=4320), (0.0000000000231*D21^3 - 0.00000035515991*D21^2 + 0.00233031727429*D21 + 19.1319080928709)*D21/100," ")</f>
        <v>627.40215885245789</v>
      </c>
      <c r="J21" s="26">
        <f>IF(AND(D21&gt;=1590,D21&lt;=4320), (0.00000000001518*D21^3 - 0.00000025425883*D21^2 + 0.00176284479164*D21 + 10.4266484600639)*D21/100," ")</f>
        <v>367.20005500099961</v>
      </c>
      <c r="K21" s="26">
        <f>IF(AND(D21&gt;=1590,D21&lt;=4320), (0.00000000000792*D21^3 - 0.00000010090108*D21^2 + 0.00056747248265*D21 + 8.70525963280771)*D21/100," ")</f>
        <v>260.20210385147743</v>
      </c>
      <c r="L21" s="27">
        <f>IF(AND(D21&gt;=1590,D21&lt;=4320), (0.00000000000059*D21^3 - 0.00000003421491*D21^2 + 0.00033317475019*D21 + 6.95030320401411)*D21/100," ")</f>
        <v>205.08537010833018</v>
      </c>
    </row>
    <row r="22" spans="1:15" ht="20.25" x14ac:dyDescent="0.25">
      <c r="A22"/>
      <c r="B22" s="14"/>
      <c r="C22"/>
      <c r="D22" s="101"/>
      <c r="E22" s="11"/>
      <c r="F22" s="25"/>
      <c r="G22" s="23"/>
      <c r="H22" s="23"/>
      <c r="I22" s="23"/>
      <c r="J22" s="23"/>
      <c r="K22" s="23"/>
      <c r="L22" s="24"/>
    </row>
    <row r="23" spans="1:15" ht="20.25" x14ac:dyDescent="0.25">
      <c r="A23"/>
      <c r="B23"/>
      <c r="C23" s="10"/>
      <c r="D23" s="100">
        <f xml:space="preserve"> -0.02271337689478*B20^3 + 2.58247991591043*B20^2 + 2.9688870645914*B20 + 53.6872045695345</f>
        <v>2347.3001144568179</v>
      </c>
      <c r="E23" s="44" t="s">
        <v>37</v>
      </c>
      <c r="F23" s="25" t="s">
        <v>18</v>
      </c>
      <c r="G23" s="26">
        <f>IF(AND(D23&gt;=1590,D23&lt;=4320), (0.00000000005636*D23^3 - 0.00000072051463*D23^2 + 0.00395703263506*D23 + 69.2136240475132)*D23/100," ")</f>
        <v>1766.6010175472288</v>
      </c>
      <c r="H23" s="26">
        <f>IF(AND(D23&gt;=1590,D23&lt;=4320), (0.00000000002241*D23^3 - 0.00000054111488*D23^2 + 0.00489823192851*D23 + 16.8783261739175)*D23/100," ")</f>
        <v>602.88842604074398</v>
      </c>
      <c r="I23" s="26">
        <f>IF(AND(D23&gt;=1590,D23&lt;=4320), (0.00000000001934*D23^3 - 0.00000023500806*D23^2 + 0.00104798634062*D23 + 21.1456768452721)*D23/100," ")</f>
        <v>529.57183704792453</v>
      </c>
      <c r="J23" s="26">
        <f>IF(AND(D23&gt;=1590,D23&lt;=4320), (0.00000000002728*D23^3 - 0.00000031416543*D23^2 + 0.0013766032695*D23 + 11.6533705956901)*D23/100," ")</f>
        <v>317.03797043789501</v>
      </c>
      <c r="K23" s="26">
        <f>IF(AND(D23&gt;=1590,D23&lt;=4320), (0.00000000000002*D23^4 - 0.00000000022592*D23^3 + 0.0000010118837*D23^2 - 0.00203382224395*D23 + 10.6124072783889)*D23/100," ")</f>
        <v>213.58095824245677</v>
      </c>
      <c r="L23" s="27">
        <f>IF(AND(D23&gt;=1590,D23&lt;=4320), (-0.00000000000511*D23^3 + 0.00000006840437*D23^2 - 0.00038884770939*D23 + 8.19504057568534)*D23/100," ")</f>
        <v>178.2329691295632</v>
      </c>
    </row>
    <row r="24" spans="1:15" ht="15.75" x14ac:dyDescent="0.25">
      <c r="A24"/>
      <c r="B24"/>
      <c r="C24"/>
      <c r="D24" s="101"/>
      <c r="E24" s="11"/>
      <c r="F24" s="25"/>
      <c r="G24" s="26"/>
      <c r="H24" s="26"/>
      <c r="I24" s="26"/>
      <c r="J24" s="26"/>
      <c r="K24" s="26"/>
      <c r="L24" s="27"/>
    </row>
    <row r="25" spans="1:15" ht="21" thickBot="1" x14ac:dyDescent="0.3">
      <c r="A25"/>
      <c r="B25"/>
      <c r="C25" s="10"/>
      <c r="D25" s="100">
        <f xml:space="preserve"> -0.02507900859639*B20^3 + 2.82586442447518*B20^2 + 2.33221731302547*B20 + 52.8029366232513</f>
        <v>2520.8519689910172</v>
      </c>
      <c r="E25" s="44" t="s">
        <v>37</v>
      </c>
      <c r="F25" s="35" t="s">
        <v>30</v>
      </c>
      <c r="G25" s="28">
        <f>IF(AND(D25&gt;=1590,D25&lt;=4320), (0.00000000006009*D25^3 - 0.00000075314475*D25^2 + 0.00426427593118*D25 + 68.297172192741)*D25/100," ")</f>
        <v>1896.2698557207871</v>
      </c>
      <c r="H25" s="28">
        <f>IF(AND(D25&gt;=1590,D25&lt;=4320), (0.0000000000365*D25^3 - 0.00000064520812*D25^2 + 0.00482439980426*D25 + 16.9393008876879)*D25/100," ")</f>
        <v>644.97259238441029</v>
      </c>
      <c r="I25" s="28">
        <f>IF(AND(D25&gt;=1590,D25&lt;=4320), (0.00000000002961*D25^3 - 0.00000036733006*D25^2 + 0.00189729147357*D25 + 19.9694431561989)*D25/100," ")</f>
        <v>577.08083311628104</v>
      </c>
      <c r="J25" s="28">
        <f>IF(AND(D25&gt;=1590,D25&lt;=4320), (0.00000000002771*D25^3 - 0.00000034026146*D25^2 + 0.00173531938409*D25 + 10.9020261712183)*D25/100," ")</f>
        <v>341.78076629415898</v>
      </c>
      <c r="K25" s="28">
        <f>IF(AND(D25&gt;=1590,D25&lt;=4320), (0.0000000000019*D25^3 - 0.0000000270686*D25^2 + 0.00016197208948*D25 + 9.06741698497887)*D25/100," ")</f>
        <v>235.30006682207849</v>
      </c>
      <c r="L25" s="29">
        <f>IF(AND(D25&gt;=1590,D25&lt;=4320), (-0.0000000000004*D25^3 - 0.00000000075588*D25^2 + 0.00002732307545*D25 + 7.51844574325399)*D25/100," ")</f>
        <v>190.98257072822514</v>
      </c>
    </row>
    <row r="26" spans="1:15" ht="16.5" thickTop="1" thickBo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/>
      <c r="N26"/>
      <c r="O26"/>
    </row>
    <row r="27" spans="1:15" ht="15.75" thickTop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x14ac:dyDescent="0.25">
      <c r="A34" t="s">
        <v>20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x14ac:dyDescent="0.25">
      <c r="A35" s="104" t="s">
        <v>32</v>
      </c>
      <c r="B35" s="104"/>
      <c r="C35" s="104"/>
      <c r="D35" s="104"/>
      <c r="E35" s="104"/>
      <c r="F35" s="104"/>
      <c r="G35" s="104"/>
      <c r="H35" s="104"/>
      <c r="I35"/>
      <c r="J35"/>
      <c r="K35"/>
      <c r="L35"/>
      <c r="M35"/>
      <c r="N35"/>
      <c r="O35"/>
    </row>
    <row r="36" spans="1:15" x14ac:dyDescent="0.2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</row>
    <row r="42" spans="1:15" x14ac:dyDescent="0.25">
      <c r="A42" s="118" t="s">
        <v>38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5" x14ac:dyDescent="0.25">
      <c r="A43" s="45" t="s">
        <v>39</v>
      </c>
    </row>
    <row r="44" spans="1:15" x14ac:dyDescent="0.25">
      <c r="A44" s="45" t="s">
        <v>40</v>
      </c>
    </row>
    <row r="102" spans="1:14" x14ac:dyDescent="0.25">
      <c r="A102" s="118" t="s">
        <v>38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</row>
  </sheetData>
  <sheetProtection algorithmName="SHA-512" hashValue="5B0i+yiUkupJP4FtfRD6oAkGej/6iqe0FTVBukTPCw21K7yhynM6ttVTIZo8tnlg8rW/2P1cC4JTJFXNGhVlcg==" saltValue="WjAUHUGZgcXuBRmFV75O3Q==" spinCount="100000" sheet="1" objects="1" scenarios="1"/>
  <mergeCells count="17">
    <mergeCell ref="F1:L2"/>
    <mergeCell ref="G9:G10"/>
    <mergeCell ref="H9:H10"/>
    <mergeCell ref="I9:I10"/>
    <mergeCell ref="L9:L10"/>
    <mergeCell ref="J9:J10"/>
    <mergeCell ref="K9:K10"/>
    <mergeCell ref="A35:H35"/>
    <mergeCell ref="A36:O36"/>
    <mergeCell ref="A102:N102"/>
    <mergeCell ref="A42:N42"/>
    <mergeCell ref="G19:G20"/>
    <mergeCell ref="H19:H20"/>
    <mergeCell ref="I19:I20"/>
    <mergeCell ref="L19:L20"/>
    <mergeCell ref="J19:J20"/>
    <mergeCell ref="K19:K20"/>
  </mergeCells>
  <conditionalFormatting sqref="D21 D23 D25">
    <cfRule type="cellIs" dxfId="0" priority="1" operator="lessThan">
      <formula>1.6</formula>
    </cfRule>
  </conditionalFormatting>
  <hyperlinks>
    <hyperlink ref="A35" r:id="rId1" location="!/ensino/corpo-docente/ " xr:uid="{37CA4FE1-8AB1-4C0B-AFA5-35F217260CE8}"/>
  </hyperlinks>
  <pageMargins left="0.511811024" right="0.511811024" top="0.78740157499999996" bottom="0.78740157499999996" header="0.31496062000000002" footer="0.31496062000000002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3" r:id="rId4" name="Spinner 11">
              <controlPr defaultSize="0" autoPict="0">
                <anchor moveWithCells="1" sizeWithCells="1">
                  <from>
                    <xdr:col>1</xdr:col>
                    <xdr:colOff>114300</xdr:colOff>
                    <xdr:row>11</xdr:row>
                    <xdr:rowOff>47625</xdr:rowOff>
                  </from>
                  <to>
                    <xdr:col>1</xdr:col>
                    <xdr:colOff>581025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" name="Spinner 12">
              <controlPr defaultSize="0" autoPict="0">
                <anchor moveWithCells="1" sizeWithCells="1">
                  <from>
                    <xdr:col>1</xdr:col>
                    <xdr:colOff>114300</xdr:colOff>
                    <xdr:row>20</xdr:row>
                    <xdr:rowOff>85725</xdr:rowOff>
                  </from>
                  <to>
                    <xdr:col>1</xdr:col>
                    <xdr:colOff>581025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05127-7670-4FDF-992D-1B23F09CAAFF}">
  <sheetPr codeName="Planilha2">
    <tabColor rgb="FF92D050"/>
  </sheetPr>
  <dimension ref="A1:S183"/>
  <sheetViews>
    <sheetView showGridLines="0" showRowColHeaders="0" zoomScale="110" zoomScaleNormal="110" workbookViewId="0">
      <selection activeCell="V23" sqref="V2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0" max="10" width="14" bestFit="1" customWidth="1"/>
    <col min="20" max="20" width="10" customWidth="1"/>
    <col min="22" max="22" width="9.5703125" customWidth="1"/>
    <col min="23" max="23" width="11.7109375" bestFit="1" customWidth="1"/>
    <col min="24" max="25" width="10.42578125" customWidth="1"/>
    <col min="26" max="26" width="11.85546875" customWidth="1"/>
    <col min="27" max="28" width="10.42578125" customWidth="1"/>
    <col min="29" max="29" width="13.7109375" customWidth="1"/>
    <col min="30" max="30" width="11.7109375" customWidth="1"/>
    <col min="31" max="31" width="14.5703125" customWidth="1"/>
  </cols>
  <sheetData>
    <row r="1" spans="1:9" x14ac:dyDescent="0.25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3">
        <v>1.6</v>
      </c>
      <c r="B2" s="3">
        <v>22.09</v>
      </c>
      <c r="C2" s="3">
        <v>12.95</v>
      </c>
      <c r="D2" s="3">
        <v>9.9499999999999993</v>
      </c>
      <c r="E2" s="3">
        <v>8.0500000000000007</v>
      </c>
      <c r="F2" s="3">
        <v>15.65</v>
      </c>
      <c r="G2" s="3">
        <v>22.09</v>
      </c>
      <c r="H2" s="3">
        <v>37.74</v>
      </c>
      <c r="I2" s="4">
        <v>70.069999999999993</v>
      </c>
    </row>
    <row r="3" spans="1:9" x14ac:dyDescent="0.25">
      <c r="A3" s="3">
        <v>1.8</v>
      </c>
      <c r="B3" s="3">
        <v>23.15</v>
      </c>
      <c r="C3" s="3">
        <v>13.21</v>
      </c>
      <c r="D3" s="3">
        <v>9.92</v>
      </c>
      <c r="E3" s="3">
        <v>8.01</v>
      </c>
      <c r="F3" s="3">
        <v>16.149999999999999</v>
      </c>
      <c r="G3" s="3">
        <v>23.15</v>
      </c>
      <c r="H3" s="3">
        <v>39.299999999999997</v>
      </c>
      <c r="I3" s="4">
        <v>70.94</v>
      </c>
    </row>
    <row r="4" spans="1:9" x14ac:dyDescent="0.25">
      <c r="A4" s="3">
        <v>2</v>
      </c>
      <c r="B4" s="3">
        <v>23.99</v>
      </c>
      <c r="C4" s="3">
        <v>13.42</v>
      </c>
      <c r="D4" s="3">
        <v>9.89</v>
      </c>
      <c r="E4" s="3">
        <v>7.97</v>
      </c>
      <c r="F4" s="3">
        <v>16.55</v>
      </c>
      <c r="G4" s="3">
        <v>23.99</v>
      </c>
      <c r="H4" s="3">
        <v>40.54</v>
      </c>
      <c r="I4" s="4">
        <v>71.64</v>
      </c>
    </row>
    <row r="5" spans="1:9" x14ac:dyDescent="0.25">
      <c r="A5" s="3">
        <v>2.2000000000000002</v>
      </c>
      <c r="B5" s="3">
        <v>24.68</v>
      </c>
      <c r="C5" s="3">
        <v>13.59</v>
      </c>
      <c r="D5" s="3">
        <v>9.86</v>
      </c>
      <c r="E5" s="3">
        <v>7.95</v>
      </c>
      <c r="F5" s="3">
        <v>16.88</v>
      </c>
      <c r="G5" s="3">
        <v>24.68</v>
      </c>
      <c r="H5" s="3">
        <v>41.56</v>
      </c>
      <c r="I5" s="4">
        <v>72.209999999999994</v>
      </c>
    </row>
    <row r="6" spans="1:9" x14ac:dyDescent="0.25">
      <c r="A6" s="3">
        <v>2.4</v>
      </c>
      <c r="B6" s="3">
        <v>25.25</v>
      </c>
      <c r="C6" s="3">
        <v>13.73</v>
      </c>
      <c r="D6" s="3">
        <v>9.84</v>
      </c>
      <c r="E6" s="3">
        <v>7.92</v>
      </c>
      <c r="F6" s="3">
        <v>17.16</v>
      </c>
      <c r="G6" s="3">
        <v>25.25</v>
      </c>
      <c r="H6" s="3">
        <v>42.41</v>
      </c>
      <c r="I6" s="4">
        <v>72.680000000000007</v>
      </c>
    </row>
    <row r="7" spans="1:9" x14ac:dyDescent="0.25">
      <c r="A7" s="3">
        <v>2.6</v>
      </c>
      <c r="B7" s="3">
        <v>25.74</v>
      </c>
      <c r="C7" s="3">
        <v>13.85</v>
      </c>
      <c r="D7" s="3">
        <v>9.82</v>
      </c>
      <c r="E7" s="3">
        <v>7.9</v>
      </c>
      <c r="F7" s="3">
        <v>17.39</v>
      </c>
      <c r="G7" s="3">
        <v>25.74</v>
      </c>
      <c r="H7" s="3">
        <v>43.13</v>
      </c>
      <c r="I7" s="4">
        <v>73.08</v>
      </c>
    </row>
    <row r="8" spans="1:9" x14ac:dyDescent="0.25">
      <c r="A8" s="3">
        <v>2.8</v>
      </c>
      <c r="B8" s="3">
        <v>26.16</v>
      </c>
      <c r="C8" s="3">
        <v>13.95</v>
      </c>
      <c r="D8" s="3">
        <v>9.81</v>
      </c>
      <c r="E8" s="3">
        <v>7.88</v>
      </c>
      <c r="F8" s="3">
        <v>17.59</v>
      </c>
      <c r="G8" s="3">
        <v>26.16</v>
      </c>
      <c r="H8" s="3">
        <v>43.74</v>
      </c>
      <c r="I8" s="4">
        <v>73.430000000000007</v>
      </c>
    </row>
    <row r="9" spans="1:9" ht="24" customHeight="1" x14ac:dyDescent="0.25">
      <c r="A9" s="3">
        <v>3</v>
      </c>
      <c r="B9" s="3">
        <v>26.52</v>
      </c>
      <c r="C9" s="3">
        <v>14.04</v>
      </c>
      <c r="D9" s="3">
        <v>9.8000000000000007</v>
      </c>
      <c r="E9" s="3">
        <v>7.87</v>
      </c>
      <c r="F9" s="3">
        <v>17.760000000000002</v>
      </c>
      <c r="G9" s="3">
        <v>26.52</v>
      </c>
      <c r="H9" s="3">
        <v>44.28</v>
      </c>
      <c r="I9" s="4">
        <v>73.72</v>
      </c>
    </row>
    <row r="10" spans="1:9" x14ac:dyDescent="0.25">
      <c r="A10" s="3">
        <v>3.2</v>
      </c>
      <c r="B10" s="3">
        <v>26.83</v>
      </c>
      <c r="C10" s="3">
        <v>14.12</v>
      </c>
      <c r="D10" s="3">
        <v>9.7799999999999994</v>
      </c>
      <c r="E10" s="3">
        <v>7.85</v>
      </c>
      <c r="F10" s="3">
        <v>17.91</v>
      </c>
      <c r="G10" s="3">
        <v>26.83</v>
      </c>
      <c r="H10" s="3">
        <v>44.74</v>
      </c>
      <c r="I10" s="4">
        <v>73.98</v>
      </c>
    </row>
    <row r="11" spans="1:9" x14ac:dyDescent="0.25">
      <c r="A11" s="3">
        <v>3.4</v>
      </c>
      <c r="B11" s="3">
        <v>27.11</v>
      </c>
      <c r="C11" s="3">
        <v>14.19</v>
      </c>
      <c r="D11" s="3">
        <v>9.77</v>
      </c>
      <c r="E11" s="3">
        <v>7.84</v>
      </c>
      <c r="F11" s="3">
        <v>18.04</v>
      </c>
      <c r="G11" s="3">
        <v>27.11</v>
      </c>
      <c r="H11" s="3">
        <v>45.16</v>
      </c>
      <c r="I11" s="4">
        <v>74.209999999999994</v>
      </c>
    </row>
    <row r="12" spans="1:9" ht="24" customHeight="1" x14ac:dyDescent="0.25">
      <c r="A12" s="3">
        <v>3.6</v>
      </c>
      <c r="B12" s="3">
        <v>27.36</v>
      </c>
      <c r="C12" s="3">
        <v>14.25</v>
      </c>
      <c r="D12" s="3">
        <v>9.77</v>
      </c>
      <c r="E12" s="3">
        <v>7.83</v>
      </c>
      <c r="F12" s="3">
        <v>18.16</v>
      </c>
      <c r="G12" s="3">
        <v>27.36</v>
      </c>
      <c r="H12" s="3">
        <v>45.52</v>
      </c>
      <c r="I12" s="4">
        <v>74.42</v>
      </c>
    </row>
    <row r="13" spans="1:9" x14ac:dyDescent="0.25">
      <c r="A13" s="3">
        <v>3.8</v>
      </c>
      <c r="B13" s="3">
        <v>27.58</v>
      </c>
      <c r="C13" s="3">
        <v>14.31</v>
      </c>
      <c r="D13" s="3">
        <v>9.76</v>
      </c>
      <c r="E13" s="3">
        <v>7.82</v>
      </c>
      <c r="F13" s="3">
        <v>18.27</v>
      </c>
      <c r="G13" s="3">
        <v>27.58</v>
      </c>
      <c r="H13" s="3">
        <v>45.85</v>
      </c>
      <c r="I13" s="4">
        <v>74.599999999999994</v>
      </c>
    </row>
    <row r="14" spans="1:9" x14ac:dyDescent="0.25">
      <c r="A14" s="3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3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3">
        <v>4</v>
      </c>
      <c r="B16" s="3">
        <v>27.78</v>
      </c>
      <c r="C16" s="3">
        <v>14.36</v>
      </c>
      <c r="D16" s="3">
        <v>9.75</v>
      </c>
      <c r="E16" s="3">
        <v>7.81</v>
      </c>
      <c r="F16" s="3">
        <v>18.36</v>
      </c>
      <c r="G16" s="3">
        <v>27.78</v>
      </c>
      <c r="H16" s="3">
        <v>46.15</v>
      </c>
      <c r="I16" s="4">
        <v>74.77</v>
      </c>
    </row>
    <row r="17" spans="1:19" x14ac:dyDescent="0.25">
      <c r="A17" s="3">
        <v>4.2</v>
      </c>
      <c r="B17" s="3">
        <v>27.96</v>
      </c>
      <c r="C17" s="3">
        <v>14.4</v>
      </c>
      <c r="D17" s="3">
        <v>9.74</v>
      </c>
      <c r="E17" s="3">
        <v>7.81</v>
      </c>
      <c r="F17" s="3">
        <v>18.45</v>
      </c>
      <c r="G17" s="3">
        <v>27.96</v>
      </c>
      <c r="H17" s="3">
        <v>46.41</v>
      </c>
      <c r="I17" s="4">
        <v>74.92</v>
      </c>
    </row>
    <row r="18" spans="1:19" x14ac:dyDescent="0.25">
      <c r="A18" s="3">
        <v>4.4000000000000004</v>
      </c>
      <c r="B18" s="3">
        <v>28.13</v>
      </c>
      <c r="C18" s="3">
        <v>14.44</v>
      </c>
      <c r="D18" s="3">
        <v>9.74</v>
      </c>
      <c r="E18" s="3">
        <v>7.8</v>
      </c>
      <c r="F18" s="3">
        <v>18.53</v>
      </c>
      <c r="G18" s="3">
        <v>28.13</v>
      </c>
      <c r="H18" s="3">
        <v>46.65</v>
      </c>
      <c r="I18" s="4">
        <v>75.05</v>
      </c>
    </row>
    <row r="19" spans="1:19" x14ac:dyDescent="0.25">
      <c r="A19" s="3">
        <v>4.5999999999999996</v>
      </c>
      <c r="B19" s="3">
        <v>28.28</v>
      </c>
      <c r="C19" s="3">
        <v>14.48</v>
      </c>
      <c r="D19" s="3">
        <v>9.73</v>
      </c>
      <c r="E19" s="3">
        <v>7.79</v>
      </c>
      <c r="F19" s="3">
        <v>18.600000000000001</v>
      </c>
      <c r="G19" s="3">
        <v>28.28</v>
      </c>
      <c r="H19" s="3">
        <v>46.88</v>
      </c>
      <c r="I19" s="4">
        <v>75.17</v>
      </c>
    </row>
    <row r="20" spans="1:19" x14ac:dyDescent="0.25">
      <c r="A20" s="3">
        <v>4.8</v>
      </c>
      <c r="B20" s="3">
        <v>28.41</v>
      </c>
      <c r="C20" s="3">
        <v>14.51</v>
      </c>
      <c r="D20" s="3">
        <v>9.73</v>
      </c>
      <c r="E20" s="3">
        <v>7.79</v>
      </c>
      <c r="F20" s="3">
        <v>18.670000000000002</v>
      </c>
      <c r="G20" s="3">
        <v>28.41</v>
      </c>
      <c r="H20" s="3">
        <v>47.08</v>
      </c>
      <c r="I20" s="4">
        <v>75.290000000000006</v>
      </c>
      <c r="S20" t="s">
        <v>20</v>
      </c>
    </row>
    <row r="22" spans="1:19" x14ac:dyDescent="0.25">
      <c r="A22" s="104" t="s">
        <v>101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</row>
    <row r="65" spans="1:9" x14ac:dyDescent="0.25">
      <c r="A65" s="1" t="s">
        <v>21</v>
      </c>
      <c r="B65" s="1" t="s">
        <v>22</v>
      </c>
      <c r="C65" s="1" t="s">
        <v>3</v>
      </c>
      <c r="D65" s="1" t="s">
        <v>2</v>
      </c>
      <c r="E65" s="1" t="s">
        <v>3</v>
      </c>
      <c r="F65" s="1"/>
      <c r="G65" s="1" t="s">
        <v>23</v>
      </c>
      <c r="H65" s="1" t="s">
        <v>24</v>
      </c>
      <c r="I65" s="2" t="s">
        <v>25</v>
      </c>
    </row>
    <row r="66" spans="1:9" x14ac:dyDescent="0.25">
      <c r="A66" s="3">
        <v>1.6</v>
      </c>
      <c r="B66" s="3">
        <v>23.51</v>
      </c>
      <c r="C66" s="3">
        <v>13.13</v>
      </c>
      <c r="D66" s="3">
        <v>9.5299999999999994</v>
      </c>
      <c r="E66" s="3">
        <v>8.0299999999999994</v>
      </c>
      <c r="F66" s="3">
        <v>16.25</v>
      </c>
      <c r="G66" s="3">
        <v>23.51</v>
      </c>
      <c r="H66" s="3">
        <v>39.76</v>
      </c>
      <c r="I66" s="4">
        <v>70.36</v>
      </c>
    </row>
    <row r="67" spans="1:9" x14ac:dyDescent="0.25">
      <c r="A67" s="3">
        <v>1.8</v>
      </c>
      <c r="B67" s="3">
        <v>24.75</v>
      </c>
      <c r="C67" s="3">
        <v>13.28</v>
      </c>
      <c r="D67" s="3">
        <v>9.4499999999999993</v>
      </c>
      <c r="E67" s="3">
        <v>7.98</v>
      </c>
      <c r="F67" s="3">
        <v>16.399999999999999</v>
      </c>
      <c r="G67" s="3">
        <v>24.75</v>
      </c>
      <c r="H67" s="3">
        <v>41.15</v>
      </c>
      <c r="I67" s="4">
        <v>71.31</v>
      </c>
    </row>
    <row r="68" spans="1:9" x14ac:dyDescent="0.25">
      <c r="A68" s="3">
        <v>2</v>
      </c>
      <c r="B68" s="3">
        <v>25.74</v>
      </c>
      <c r="C68" s="3">
        <v>13.41</v>
      </c>
      <c r="D68" s="3">
        <v>9.3800000000000008</v>
      </c>
      <c r="E68" s="3">
        <v>7.94</v>
      </c>
      <c r="F68" s="3">
        <v>16.52</v>
      </c>
      <c r="G68" s="3">
        <v>25.74</v>
      </c>
      <c r="H68" s="3">
        <v>42.27</v>
      </c>
      <c r="I68" s="4">
        <v>72.069999999999993</v>
      </c>
    </row>
    <row r="69" spans="1:9" x14ac:dyDescent="0.25">
      <c r="A69" s="3">
        <v>2.2000000000000002</v>
      </c>
      <c r="B69" s="3">
        <v>26.56</v>
      </c>
      <c r="C69" s="3">
        <v>13.51</v>
      </c>
      <c r="D69" s="3">
        <v>9.33</v>
      </c>
      <c r="E69" s="3">
        <v>7.91</v>
      </c>
      <c r="F69" s="3">
        <v>16.62</v>
      </c>
      <c r="G69" s="3">
        <v>26.56</v>
      </c>
      <c r="H69" s="3">
        <v>43.18</v>
      </c>
      <c r="I69" s="4">
        <v>72.7</v>
      </c>
    </row>
    <row r="70" spans="1:9" x14ac:dyDescent="0.25">
      <c r="A70" s="3">
        <v>2.4</v>
      </c>
      <c r="B70" s="3">
        <v>27.23</v>
      </c>
      <c r="C70" s="3">
        <v>13.59</v>
      </c>
      <c r="D70" s="3">
        <v>9.2899999999999991</v>
      </c>
      <c r="E70" s="3">
        <v>7.88</v>
      </c>
      <c r="F70" s="3">
        <v>16.71</v>
      </c>
      <c r="G70" s="3">
        <v>27.23</v>
      </c>
      <c r="H70" s="3">
        <v>43.94</v>
      </c>
      <c r="I70" s="4">
        <v>73.22</v>
      </c>
    </row>
    <row r="71" spans="1:9" x14ac:dyDescent="0.25">
      <c r="A71" s="3">
        <v>2.6</v>
      </c>
      <c r="B71" s="3">
        <v>27.81</v>
      </c>
      <c r="C71" s="3">
        <v>13.67</v>
      </c>
      <c r="D71" s="3">
        <v>9.25</v>
      </c>
      <c r="E71" s="3">
        <v>7.86</v>
      </c>
      <c r="F71" s="3">
        <v>16.78</v>
      </c>
      <c r="G71" s="3">
        <v>27.81</v>
      </c>
      <c r="H71" s="3">
        <v>44.58</v>
      </c>
      <c r="I71" s="4">
        <v>73.650000000000006</v>
      </c>
    </row>
    <row r="72" spans="1:9" x14ac:dyDescent="0.25">
      <c r="A72" s="3">
        <v>2.8</v>
      </c>
      <c r="B72" s="3">
        <v>28.3</v>
      </c>
      <c r="C72" s="3">
        <v>13.73</v>
      </c>
      <c r="D72" s="3">
        <v>9.2200000000000006</v>
      </c>
      <c r="E72" s="3">
        <v>7.84</v>
      </c>
      <c r="F72" s="3">
        <v>16.84</v>
      </c>
      <c r="G72" s="3">
        <v>28.3</v>
      </c>
      <c r="H72" s="3">
        <v>45.13</v>
      </c>
      <c r="I72" s="4">
        <v>74.03</v>
      </c>
    </row>
    <row r="73" spans="1:9" x14ac:dyDescent="0.25">
      <c r="A73" s="3">
        <v>3</v>
      </c>
      <c r="B73" s="3">
        <v>28.72</v>
      </c>
      <c r="C73" s="3">
        <v>13.78</v>
      </c>
      <c r="D73" s="3">
        <v>9.19</v>
      </c>
      <c r="E73" s="3">
        <v>7.82</v>
      </c>
      <c r="F73" s="3">
        <v>16.89</v>
      </c>
      <c r="G73" s="3">
        <v>28.72</v>
      </c>
      <c r="H73" s="3">
        <v>45.61</v>
      </c>
      <c r="I73" s="4">
        <v>74.36</v>
      </c>
    </row>
    <row r="74" spans="1:9" x14ac:dyDescent="0.25">
      <c r="A74" s="3">
        <v>3.2</v>
      </c>
      <c r="B74" s="3">
        <v>29.09</v>
      </c>
      <c r="C74" s="3">
        <v>13.83</v>
      </c>
      <c r="D74" s="3">
        <v>9.17</v>
      </c>
      <c r="E74" s="3">
        <v>7.81</v>
      </c>
      <c r="F74" s="3">
        <v>16.93</v>
      </c>
      <c r="G74" s="3">
        <v>29.09</v>
      </c>
      <c r="H74" s="3">
        <v>46.03</v>
      </c>
      <c r="I74" s="4">
        <v>74.64</v>
      </c>
    </row>
    <row r="75" spans="1:9" x14ac:dyDescent="0.25">
      <c r="A75" s="3">
        <v>3.4</v>
      </c>
      <c r="B75" s="3">
        <v>29.42</v>
      </c>
      <c r="C75" s="3">
        <v>13.87</v>
      </c>
      <c r="D75" s="3">
        <v>9.14</v>
      </c>
      <c r="E75" s="3">
        <v>7.79</v>
      </c>
      <c r="F75" s="3">
        <v>16.98</v>
      </c>
      <c r="G75" s="3">
        <v>29.42</v>
      </c>
      <c r="H75" s="3">
        <v>46.4</v>
      </c>
      <c r="I75" s="4">
        <v>74.900000000000006</v>
      </c>
    </row>
    <row r="76" spans="1:9" x14ac:dyDescent="0.25">
      <c r="A76" s="3">
        <v>3.6</v>
      </c>
      <c r="B76" s="3">
        <v>29.71</v>
      </c>
      <c r="C76" s="3">
        <v>13.91</v>
      </c>
      <c r="D76" s="3">
        <v>9.1300000000000008</v>
      </c>
      <c r="E76" s="3">
        <v>7.78</v>
      </c>
      <c r="F76" s="3">
        <v>17.010000000000002</v>
      </c>
      <c r="G76" s="3">
        <v>29.71</v>
      </c>
      <c r="H76" s="3">
        <v>46.73</v>
      </c>
      <c r="I76" s="4">
        <v>75.12</v>
      </c>
    </row>
    <row r="77" spans="1:9" x14ac:dyDescent="0.25">
      <c r="A77" s="3">
        <v>3.8</v>
      </c>
      <c r="B77" s="3">
        <v>29.98</v>
      </c>
      <c r="C77" s="3">
        <v>13.94</v>
      </c>
      <c r="D77" s="3">
        <v>9.11</v>
      </c>
      <c r="E77" s="3">
        <v>7.77</v>
      </c>
      <c r="F77" s="3">
        <v>17.04</v>
      </c>
      <c r="G77" s="3">
        <v>29.98</v>
      </c>
      <c r="H77" s="3">
        <v>47.02</v>
      </c>
      <c r="I77" s="4">
        <v>75.319999999999993</v>
      </c>
    </row>
    <row r="78" spans="1:9" x14ac:dyDescent="0.25">
      <c r="A78" s="3">
        <v>4</v>
      </c>
      <c r="B78" s="3">
        <v>30.21</v>
      </c>
      <c r="C78" s="3">
        <v>13.97</v>
      </c>
      <c r="D78" s="3">
        <v>9.08</v>
      </c>
      <c r="E78" s="3">
        <v>7.76</v>
      </c>
      <c r="F78" s="3">
        <v>17.07</v>
      </c>
      <c r="G78" s="3">
        <v>30.21</v>
      </c>
      <c r="H78" s="3">
        <v>47.28</v>
      </c>
      <c r="I78" s="4">
        <v>75.5</v>
      </c>
    </row>
    <row r="126" spans="1:4" x14ac:dyDescent="0.25">
      <c r="A126" t="s">
        <v>19</v>
      </c>
      <c r="B126" t="s">
        <v>26</v>
      </c>
      <c r="C126" t="s">
        <v>27</v>
      </c>
      <c r="D126" t="s">
        <v>28</v>
      </c>
    </row>
    <row r="127" spans="1:4" x14ac:dyDescent="0.25">
      <c r="A127">
        <v>0</v>
      </c>
      <c r="B127">
        <v>4.3999999999999997E-2</v>
      </c>
      <c r="C127">
        <v>4.3999999999999997E-2</v>
      </c>
      <c r="D127">
        <v>4.3999999999999997E-2</v>
      </c>
    </row>
    <row r="128" spans="1:4" x14ac:dyDescent="0.25">
      <c r="A128">
        <v>1</v>
      </c>
      <c r="B128">
        <v>6.0999999999999999E-2</v>
      </c>
      <c r="C128">
        <v>6.2E-2</v>
      </c>
      <c r="D128">
        <v>6.2E-2</v>
      </c>
    </row>
    <row r="129" spans="1:4" x14ac:dyDescent="0.25">
      <c r="A129">
        <v>2</v>
      </c>
      <c r="B129">
        <v>7.9000000000000001E-2</v>
      </c>
      <c r="C129">
        <v>8.1000000000000003E-2</v>
      </c>
      <c r="D129">
        <v>0.08</v>
      </c>
    </row>
    <row r="130" spans="1:4" x14ac:dyDescent="0.25">
      <c r="A130">
        <v>3</v>
      </c>
      <c r="B130">
        <v>0.1</v>
      </c>
      <c r="C130">
        <v>0.10199999999999999</v>
      </c>
      <c r="D130">
        <v>0.10100000000000001</v>
      </c>
    </row>
    <row r="131" spans="1:4" x14ac:dyDescent="0.25">
      <c r="A131">
        <v>4</v>
      </c>
      <c r="B131">
        <v>0.124</v>
      </c>
      <c r="C131">
        <v>0.126</v>
      </c>
      <c r="D131">
        <v>0.125</v>
      </c>
    </row>
    <row r="132" spans="1:4" x14ac:dyDescent="0.25">
      <c r="A132">
        <v>5</v>
      </c>
      <c r="B132">
        <v>0.15</v>
      </c>
      <c r="C132">
        <v>0.152</v>
      </c>
      <c r="D132">
        <v>0.151</v>
      </c>
    </row>
    <row r="133" spans="1:4" x14ac:dyDescent="0.25">
      <c r="A133">
        <v>6</v>
      </c>
      <c r="B133">
        <v>0.18</v>
      </c>
      <c r="C133">
        <v>0.18099999999999999</v>
      </c>
      <c r="D133">
        <v>0.18099999999999999</v>
      </c>
    </row>
    <row r="134" spans="1:4" x14ac:dyDescent="0.25">
      <c r="A134">
        <v>7</v>
      </c>
      <c r="B134">
        <v>0.21299999999999999</v>
      </c>
      <c r="C134">
        <v>0.214</v>
      </c>
      <c r="D134">
        <v>0.214</v>
      </c>
    </row>
    <row r="135" spans="1:4" x14ac:dyDescent="0.25">
      <c r="A135">
        <v>8</v>
      </c>
      <c r="B135">
        <v>0.25</v>
      </c>
      <c r="C135">
        <v>0.25</v>
      </c>
      <c r="D135">
        <v>0.25</v>
      </c>
    </row>
    <row r="136" spans="1:4" x14ac:dyDescent="0.25">
      <c r="A136">
        <v>9</v>
      </c>
      <c r="B136">
        <v>0.28999999999999998</v>
      </c>
      <c r="C136">
        <v>0.28899999999999998</v>
      </c>
      <c r="D136">
        <v>0.28899999999999998</v>
      </c>
    </row>
    <row r="137" spans="1:4" x14ac:dyDescent="0.25">
      <c r="A137">
        <v>10</v>
      </c>
      <c r="B137">
        <v>0.33400000000000002</v>
      </c>
      <c r="C137">
        <v>0.33100000000000002</v>
      </c>
      <c r="D137">
        <v>0.33300000000000002</v>
      </c>
    </row>
    <row r="138" spans="1:4" x14ac:dyDescent="0.25">
      <c r="A138">
        <v>11</v>
      </c>
      <c r="B138">
        <v>0.38200000000000001</v>
      </c>
      <c r="C138">
        <v>0.376</v>
      </c>
      <c r="D138">
        <v>0.379</v>
      </c>
    </row>
    <row r="139" spans="1:4" x14ac:dyDescent="0.25">
      <c r="A139">
        <v>12</v>
      </c>
      <c r="B139">
        <v>0.434</v>
      </c>
      <c r="C139">
        <v>0.42499999999999999</v>
      </c>
      <c r="D139">
        <v>0.42899999999999999</v>
      </c>
    </row>
    <row r="140" spans="1:4" x14ac:dyDescent="0.25">
      <c r="A140">
        <v>13</v>
      </c>
      <c r="B140">
        <v>0.48899999999999999</v>
      </c>
      <c r="C140">
        <v>0.47699999999999998</v>
      </c>
      <c r="D140">
        <v>0.48299999999999998</v>
      </c>
    </row>
    <row r="141" spans="1:4" x14ac:dyDescent="0.25">
      <c r="A141">
        <v>14</v>
      </c>
      <c r="B141">
        <v>0.54900000000000004</v>
      </c>
      <c r="C141">
        <v>0.53200000000000003</v>
      </c>
      <c r="D141">
        <v>0.54</v>
      </c>
    </row>
    <row r="142" spans="1:4" x14ac:dyDescent="0.25">
      <c r="A142">
        <v>15</v>
      </c>
      <c r="B142">
        <v>0.61199999999999999</v>
      </c>
      <c r="C142">
        <v>0.59</v>
      </c>
      <c r="D142">
        <v>0.60099999999999998</v>
      </c>
    </row>
    <row r="143" spans="1:4" x14ac:dyDescent="0.25">
      <c r="A143">
        <v>16</v>
      </c>
      <c r="B143">
        <v>0.67900000000000005</v>
      </c>
      <c r="C143">
        <v>0.65100000000000002</v>
      </c>
      <c r="D143">
        <v>0.66500000000000004</v>
      </c>
    </row>
    <row r="144" spans="1:4" x14ac:dyDescent="0.25">
      <c r="A144">
        <v>17</v>
      </c>
      <c r="B144">
        <v>0.749</v>
      </c>
      <c r="C144">
        <v>0.71499999999999997</v>
      </c>
      <c r="D144">
        <v>0.73199999999999998</v>
      </c>
    </row>
    <row r="145" spans="1:4" x14ac:dyDescent="0.25">
      <c r="A145">
        <v>18</v>
      </c>
      <c r="B145">
        <v>0.82399999999999995</v>
      </c>
      <c r="C145">
        <v>0.78200000000000003</v>
      </c>
      <c r="D145">
        <v>0.80300000000000005</v>
      </c>
    </row>
    <row r="146" spans="1:4" x14ac:dyDescent="0.25">
      <c r="A146">
        <v>19</v>
      </c>
      <c r="B146">
        <v>0.90100000000000002</v>
      </c>
      <c r="C146">
        <v>0.85099999999999998</v>
      </c>
      <c r="D146">
        <v>0.876</v>
      </c>
    </row>
    <row r="147" spans="1:4" x14ac:dyDescent="0.25">
      <c r="A147">
        <v>20</v>
      </c>
      <c r="B147">
        <v>0.98299999999999998</v>
      </c>
      <c r="C147">
        <v>0.92400000000000004</v>
      </c>
      <c r="D147">
        <v>0.95299999999999996</v>
      </c>
    </row>
    <row r="148" spans="1:4" x14ac:dyDescent="0.25">
      <c r="A148">
        <v>21</v>
      </c>
      <c r="B148">
        <v>1.0669999999999999</v>
      </c>
      <c r="C148">
        <v>0.998</v>
      </c>
      <c r="D148">
        <v>1.0329999999999999</v>
      </c>
    </row>
    <row r="149" spans="1:4" x14ac:dyDescent="0.25">
      <c r="A149">
        <v>22</v>
      </c>
      <c r="B149">
        <v>1.155</v>
      </c>
      <c r="C149">
        <v>1.075</v>
      </c>
      <c r="D149">
        <v>1.115</v>
      </c>
    </row>
    <row r="150" spans="1:4" x14ac:dyDescent="0.25">
      <c r="A150">
        <v>23</v>
      </c>
      <c r="B150">
        <v>1.246</v>
      </c>
      <c r="C150">
        <v>1.1539999999999999</v>
      </c>
      <c r="D150">
        <v>1.2</v>
      </c>
    </row>
    <row r="151" spans="1:4" x14ac:dyDescent="0.25">
      <c r="A151">
        <v>24</v>
      </c>
      <c r="B151">
        <v>1.339</v>
      </c>
      <c r="C151">
        <v>1.2350000000000001</v>
      </c>
      <c r="D151">
        <v>1.2869999999999999</v>
      </c>
    </row>
    <row r="152" spans="1:4" x14ac:dyDescent="0.25">
      <c r="A152">
        <v>25</v>
      </c>
      <c r="B152">
        <v>1.4359999999999999</v>
      </c>
      <c r="C152">
        <v>1.3180000000000001</v>
      </c>
      <c r="D152">
        <v>1.377</v>
      </c>
    </row>
    <row r="153" spans="1:4" x14ac:dyDescent="0.25">
      <c r="A153">
        <v>26</v>
      </c>
      <c r="B153">
        <v>1.5349999999999999</v>
      </c>
      <c r="C153">
        <v>1.4019999999999999</v>
      </c>
      <c r="D153">
        <v>1.468</v>
      </c>
    </row>
    <row r="154" spans="1:4" x14ac:dyDescent="0.25">
      <c r="A154">
        <v>27</v>
      </c>
      <c r="B154">
        <v>1.6359999999999999</v>
      </c>
      <c r="C154">
        <v>1.488</v>
      </c>
      <c r="D154">
        <v>1.5620000000000001</v>
      </c>
    </row>
    <row r="155" spans="1:4" x14ac:dyDescent="0.25">
      <c r="A155">
        <v>28</v>
      </c>
      <c r="B155">
        <v>1.7390000000000001</v>
      </c>
      <c r="C155">
        <v>1.575</v>
      </c>
      <c r="D155">
        <v>1.657</v>
      </c>
    </row>
    <row r="156" spans="1:4" x14ac:dyDescent="0.25">
      <c r="A156">
        <v>29</v>
      </c>
      <c r="B156">
        <v>1.845</v>
      </c>
      <c r="C156">
        <v>1.6639999999999999</v>
      </c>
      <c r="D156">
        <v>1.754</v>
      </c>
    </row>
    <row r="157" spans="1:4" x14ac:dyDescent="0.25">
      <c r="A157">
        <v>30</v>
      </c>
      <c r="B157">
        <v>1.952</v>
      </c>
      <c r="C157">
        <v>1.7529999999999999</v>
      </c>
      <c r="D157">
        <v>1.853</v>
      </c>
    </row>
    <row r="158" spans="1:4" x14ac:dyDescent="0.25">
      <c r="A158">
        <v>31</v>
      </c>
      <c r="B158">
        <v>2.0609999999999999</v>
      </c>
      <c r="C158">
        <v>1.8440000000000001</v>
      </c>
      <c r="D158">
        <v>1.952</v>
      </c>
    </row>
    <row r="159" spans="1:4" x14ac:dyDescent="0.25">
      <c r="A159">
        <v>32</v>
      </c>
      <c r="B159">
        <v>2.1709999999999998</v>
      </c>
      <c r="C159">
        <v>1.9350000000000001</v>
      </c>
      <c r="D159">
        <v>2.0529999999999999</v>
      </c>
    </row>
    <row r="160" spans="1:4" x14ac:dyDescent="0.25">
      <c r="A160">
        <v>33</v>
      </c>
      <c r="B160">
        <v>2.2829999999999999</v>
      </c>
      <c r="C160">
        <v>2.0259999999999998</v>
      </c>
      <c r="D160">
        <v>2.1539999999999999</v>
      </c>
    </row>
    <row r="161" spans="1:4" x14ac:dyDescent="0.25">
      <c r="A161">
        <v>34</v>
      </c>
      <c r="B161">
        <v>2.395</v>
      </c>
      <c r="C161">
        <v>2.1179999999999999</v>
      </c>
      <c r="D161">
        <v>2.2570000000000001</v>
      </c>
    </row>
    <row r="162" spans="1:4" x14ac:dyDescent="0.25">
      <c r="A162">
        <v>35</v>
      </c>
      <c r="B162">
        <v>2.5089999999999999</v>
      </c>
      <c r="C162">
        <v>2.2109999999999999</v>
      </c>
      <c r="D162">
        <v>2.36</v>
      </c>
    </row>
    <row r="163" spans="1:4" x14ac:dyDescent="0.25">
      <c r="A163">
        <v>36</v>
      </c>
      <c r="B163">
        <v>2.6230000000000002</v>
      </c>
      <c r="C163">
        <v>2.3029999999999999</v>
      </c>
      <c r="D163">
        <v>2.4630000000000001</v>
      </c>
    </row>
    <row r="164" spans="1:4" x14ac:dyDescent="0.25">
      <c r="A164">
        <v>37</v>
      </c>
      <c r="B164">
        <v>2.738</v>
      </c>
      <c r="C164">
        <v>2.3959999999999999</v>
      </c>
      <c r="D164">
        <v>2.5670000000000002</v>
      </c>
    </row>
    <row r="165" spans="1:4" x14ac:dyDescent="0.25">
      <c r="A165">
        <v>38</v>
      </c>
      <c r="B165">
        <v>2.8530000000000002</v>
      </c>
      <c r="C165">
        <v>2.4889999999999999</v>
      </c>
      <c r="D165">
        <v>2.6709999999999998</v>
      </c>
    </row>
    <row r="166" spans="1:4" x14ac:dyDescent="0.25">
      <c r="A166">
        <v>39</v>
      </c>
      <c r="B166">
        <v>2.9689999999999999</v>
      </c>
      <c r="C166">
        <v>2.581</v>
      </c>
      <c r="D166">
        <v>2.7749999999999999</v>
      </c>
    </row>
    <row r="167" spans="1:4" x14ac:dyDescent="0.25">
      <c r="A167">
        <v>40</v>
      </c>
      <c r="B167">
        <v>3.085</v>
      </c>
      <c r="C167">
        <v>2.673</v>
      </c>
      <c r="D167">
        <v>2.879</v>
      </c>
    </row>
    <row r="168" spans="1:4" x14ac:dyDescent="0.25">
      <c r="A168">
        <v>41</v>
      </c>
      <c r="B168">
        <v>3.2</v>
      </c>
      <c r="C168">
        <v>2.7650000000000001</v>
      </c>
      <c r="D168">
        <v>2.9820000000000002</v>
      </c>
    </row>
    <row r="169" spans="1:4" x14ac:dyDescent="0.25">
      <c r="A169">
        <v>42</v>
      </c>
      <c r="B169">
        <v>3.3159999999999998</v>
      </c>
      <c r="C169">
        <v>2.8559999999999999</v>
      </c>
      <c r="D169">
        <v>3.0859999999999999</v>
      </c>
    </row>
    <row r="170" spans="1:4" x14ac:dyDescent="0.25">
      <c r="A170">
        <v>43</v>
      </c>
      <c r="B170">
        <v>3.431</v>
      </c>
      <c r="C170">
        <v>2.9460000000000002</v>
      </c>
      <c r="D170">
        <v>3.1890000000000001</v>
      </c>
    </row>
    <row r="171" spans="1:4" x14ac:dyDescent="0.25">
      <c r="A171">
        <v>44</v>
      </c>
      <c r="B171">
        <v>3.5459999999999998</v>
      </c>
      <c r="C171">
        <v>3.036</v>
      </c>
      <c r="D171">
        <v>3.2909999999999999</v>
      </c>
    </row>
    <row r="172" spans="1:4" x14ac:dyDescent="0.25">
      <c r="A172">
        <v>45</v>
      </c>
      <c r="B172">
        <v>3.66</v>
      </c>
      <c r="C172">
        <v>3.125</v>
      </c>
      <c r="D172">
        <v>3.3929999999999998</v>
      </c>
    </row>
    <row r="173" spans="1:4" x14ac:dyDescent="0.25">
      <c r="A173">
        <v>46</v>
      </c>
      <c r="B173">
        <v>3.7730000000000001</v>
      </c>
      <c r="C173">
        <v>3.214</v>
      </c>
      <c r="D173">
        <v>3.4929999999999999</v>
      </c>
    </row>
    <row r="174" spans="1:4" x14ac:dyDescent="0.25">
      <c r="A174">
        <v>47</v>
      </c>
      <c r="B174">
        <v>3.8860000000000001</v>
      </c>
      <c r="C174">
        <v>3.3010000000000002</v>
      </c>
      <c r="D174">
        <v>3.5939999999999999</v>
      </c>
    </row>
    <row r="175" spans="1:4" x14ac:dyDescent="0.25">
      <c r="A175">
        <v>48</v>
      </c>
      <c r="B175">
        <v>3.9980000000000002</v>
      </c>
      <c r="C175">
        <v>3.387</v>
      </c>
      <c r="D175">
        <v>3.6930000000000001</v>
      </c>
    </row>
    <row r="176" spans="1:4" x14ac:dyDescent="0.25">
      <c r="A176">
        <v>49</v>
      </c>
      <c r="B176">
        <v>4.109</v>
      </c>
      <c r="C176">
        <v>3.4729999999999999</v>
      </c>
      <c r="D176">
        <v>3.7909999999999999</v>
      </c>
    </row>
    <row r="177" spans="1:4" x14ac:dyDescent="0.25">
      <c r="A177">
        <v>50</v>
      </c>
      <c r="B177">
        <v>4.2190000000000003</v>
      </c>
      <c r="C177">
        <v>3.5569999999999999</v>
      </c>
      <c r="D177">
        <v>3.8879999999999999</v>
      </c>
    </row>
    <row r="178" spans="1:4" x14ac:dyDescent="0.25">
      <c r="A178">
        <v>51</v>
      </c>
      <c r="B178">
        <v>4.3280000000000003</v>
      </c>
      <c r="C178">
        <v>3.64</v>
      </c>
      <c r="D178">
        <v>3.984</v>
      </c>
    </row>
    <row r="179" spans="1:4" x14ac:dyDescent="0.25">
      <c r="A179">
        <v>52</v>
      </c>
      <c r="B179">
        <v>4.4359999999999999</v>
      </c>
      <c r="C179">
        <v>3.722</v>
      </c>
      <c r="D179">
        <v>4.0789999999999997</v>
      </c>
    </row>
    <row r="180" spans="1:4" x14ac:dyDescent="0.25">
      <c r="A180">
        <v>53</v>
      </c>
      <c r="B180">
        <v>4.5419999999999998</v>
      </c>
      <c r="C180">
        <v>3.8029999999999999</v>
      </c>
      <c r="D180">
        <v>4.173</v>
      </c>
    </row>
    <row r="181" spans="1:4" x14ac:dyDescent="0.25">
      <c r="A181">
        <v>54</v>
      </c>
      <c r="B181">
        <v>4.6470000000000002</v>
      </c>
      <c r="C181">
        <v>3.883</v>
      </c>
      <c r="D181">
        <v>4.2649999999999997</v>
      </c>
    </row>
    <row r="182" spans="1:4" x14ac:dyDescent="0.25">
      <c r="A182">
        <v>55</v>
      </c>
      <c r="B182">
        <v>4.7510000000000003</v>
      </c>
      <c r="C182">
        <v>3.9609999999999999</v>
      </c>
      <c r="D182">
        <v>4.3559999999999999</v>
      </c>
    </row>
    <row r="183" spans="1:4" x14ac:dyDescent="0.25">
      <c r="A183">
        <v>56</v>
      </c>
      <c r="B183">
        <v>4.8529999999999998</v>
      </c>
      <c r="C183">
        <v>4.0380000000000003</v>
      </c>
      <c r="D183">
        <v>4.4459999999999997</v>
      </c>
    </row>
  </sheetData>
  <sheetProtection algorithmName="SHA-512" hashValue="1PveZzmqRs8x6KzA6ZO4bRwHjcW8QpM3Z6SxfzURO+LpvCt6vrin3mjrIwyIMAlwQCucwfoXee2tDWILnx2D/Q==" saltValue="Pg9D1NI5hiZnMjCmDw9iZw==" spinCount="100000" sheet="1" objects="1" scenarios="1"/>
  <mergeCells count="1">
    <mergeCell ref="A22:M22"/>
  </mergeCells>
  <hyperlinks>
    <hyperlink ref="A22" r:id="rId1" display="https://aviagen.com/assets/Tech_Center/BB_Foreign_Language_Docs/Portuguese/Ross308AP-ParentStock-PerformanceObjectives-2021-PT.pdf  " xr:uid="{C67CAA5B-143A-434C-A7CE-6C87B00AED0B}"/>
  </hyperlinks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F060-1718-443B-9DF8-9CCF38BA18A3}">
  <sheetPr>
    <tabColor rgb="FF92D050"/>
  </sheetPr>
  <dimension ref="A1:DG78"/>
  <sheetViews>
    <sheetView showGridLines="0" showRowColHeaders="0" workbookViewId="0">
      <selection activeCell="Q36" sqref="Q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8.5703125" style="42" customWidth="1"/>
    <col min="2" max="2" width="7" style="42" customWidth="1"/>
    <col min="3" max="4" width="9" style="42" customWidth="1"/>
    <col min="5" max="5" width="9.140625" style="42"/>
    <col min="6" max="6" width="1.85546875" style="42" customWidth="1"/>
    <col min="7" max="7" width="6.28515625" style="42" customWidth="1"/>
    <col min="8" max="9" width="7.5703125" style="42" customWidth="1"/>
    <col min="10" max="10" width="8.140625" style="42" customWidth="1"/>
    <col min="11" max="33" width="9.140625" style="42"/>
    <col min="34" max="34" width="8.5703125" style="42" customWidth="1"/>
    <col min="35" max="35" width="7" style="42" customWidth="1"/>
    <col min="36" max="37" width="9" style="42" customWidth="1"/>
    <col min="38" max="38" width="9.140625" style="42"/>
    <col min="39" max="39" width="8.42578125" style="42" customWidth="1"/>
    <col min="40" max="41" width="7.5703125" style="42" customWidth="1"/>
    <col min="42" max="42" width="8.42578125" style="42" customWidth="1"/>
    <col min="43" max="62" width="9.140625" style="42"/>
    <col min="63" max="63" width="7.28515625" style="42" customWidth="1"/>
    <col min="64" max="64" width="9.28515625" style="42" customWidth="1"/>
    <col min="65" max="65" width="8.7109375" style="42" customWidth="1"/>
    <col min="66" max="66" width="9.85546875" style="42" customWidth="1"/>
    <col min="67" max="67" width="9.5703125" style="42" customWidth="1"/>
    <col min="68" max="68" width="9.7109375" style="42" customWidth="1"/>
    <col min="69" max="69" width="10.85546875" style="42" customWidth="1"/>
    <col min="70" max="70" width="9.28515625" style="42" customWidth="1"/>
    <col min="71" max="82" width="9.140625" style="42"/>
    <col min="83" max="83" width="7.28515625" style="42" customWidth="1"/>
    <col min="84" max="84" width="9.28515625" style="42" customWidth="1"/>
    <col min="85" max="85" width="8.7109375" style="42" customWidth="1"/>
    <col min="86" max="86" width="9.85546875" style="42" customWidth="1"/>
    <col min="87" max="87" width="9.5703125" style="42" customWidth="1"/>
    <col min="88" max="88" width="9.7109375" style="42" customWidth="1"/>
    <col min="89" max="89" width="10.85546875" style="42" customWidth="1"/>
    <col min="90" max="90" width="9.28515625" style="42" customWidth="1"/>
    <col min="91" max="103" width="9.140625" style="42"/>
    <col min="104" max="104" width="7.28515625" style="42" customWidth="1"/>
    <col min="105" max="105" width="9.28515625" style="42" customWidth="1"/>
    <col min="106" max="106" width="8.7109375" style="42" customWidth="1"/>
    <col min="107" max="107" width="9.85546875" style="42" customWidth="1"/>
    <col min="108" max="108" width="9.5703125" style="42" customWidth="1"/>
    <col min="109" max="109" width="9.7109375" style="42" customWidth="1"/>
    <col min="110" max="110" width="10.85546875" style="42" customWidth="1"/>
    <col min="111" max="111" width="9.28515625" style="42" customWidth="1"/>
    <col min="112" max="16384" width="9.140625" style="42"/>
  </cols>
  <sheetData>
    <row r="1" spans="1:111" ht="19.5" x14ac:dyDescent="0.25">
      <c r="A1" s="135" t="s">
        <v>41</v>
      </c>
      <c r="B1" s="135"/>
      <c r="C1" s="135"/>
      <c r="D1" s="135"/>
      <c r="E1" s="135"/>
      <c r="F1" s="135"/>
      <c r="G1" s="136" t="s">
        <v>42</v>
      </c>
      <c r="H1" s="136"/>
      <c r="I1" s="136"/>
      <c r="J1" s="136"/>
      <c r="M1" s="42" t="s">
        <v>38</v>
      </c>
      <c r="AH1" s="137" t="s">
        <v>43</v>
      </c>
      <c r="AI1" s="137"/>
      <c r="AJ1" s="137"/>
      <c r="AK1" s="137"/>
      <c r="AL1" s="137"/>
      <c r="AM1" s="137"/>
      <c r="AN1" s="137"/>
      <c r="AO1" s="137"/>
      <c r="AQ1" s="42" t="s">
        <v>38</v>
      </c>
      <c r="BK1" s="46" t="s">
        <v>44</v>
      </c>
      <c r="BS1" s="42" t="s">
        <v>38</v>
      </c>
      <c r="CE1" s="46" t="s">
        <v>45</v>
      </c>
      <c r="CL1" s="42" t="s">
        <v>38</v>
      </c>
      <c r="CZ1" s="46" t="s">
        <v>46</v>
      </c>
      <c r="DG1" s="42" t="s">
        <v>38</v>
      </c>
    </row>
    <row r="2" spans="1:111" x14ac:dyDescent="0.25">
      <c r="A2" s="138" t="s">
        <v>47</v>
      </c>
      <c r="B2" s="138"/>
      <c r="C2" s="138"/>
      <c r="D2" s="138"/>
      <c r="E2" s="138"/>
      <c r="F2" s="138"/>
      <c r="G2" s="138"/>
      <c r="H2" s="138"/>
      <c r="I2" s="138"/>
      <c r="J2" s="138"/>
      <c r="BK2" s="42" t="s">
        <v>48</v>
      </c>
      <c r="CE2" s="42" t="s">
        <v>49</v>
      </c>
      <c r="CZ2" s="42" t="s">
        <v>50</v>
      </c>
    </row>
    <row r="3" spans="1:111" ht="38.25" x14ac:dyDescent="0.25">
      <c r="A3" s="139" t="s">
        <v>51</v>
      </c>
      <c r="B3" s="139"/>
      <c r="C3" s="139"/>
      <c r="D3" s="139"/>
      <c r="E3" s="139"/>
      <c r="F3" s="139"/>
      <c r="G3" s="139"/>
      <c r="H3" s="139"/>
      <c r="I3" s="139"/>
      <c r="J3" s="47"/>
      <c r="AH3" s="125" t="s">
        <v>52</v>
      </c>
      <c r="AI3" s="126"/>
      <c r="AJ3" s="48" t="s">
        <v>53</v>
      </c>
      <c r="AK3" s="48" t="s">
        <v>54</v>
      </c>
      <c r="AL3" s="48" t="s">
        <v>55</v>
      </c>
      <c r="AM3" s="48" t="s">
        <v>56</v>
      </c>
      <c r="AN3" s="48" t="s">
        <v>57</v>
      </c>
      <c r="AO3" s="49" t="s">
        <v>58</v>
      </c>
      <c r="AR3" s="46" t="s">
        <v>59</v>
      </c>
      <c r="AS3" s="46" t="s">
        <v>60</v>
      </c>
      <c r="AT3" s="46" t="s">
        <v>61</v>
      </c>
      <c r="AU3" s="46" t="s">
        <v>62</v>
      </c>
      <c r="AV3" s="46" t="s">
        <v>63</v>
      </c>
      <c r="AW3" s="46" t="s">
        <v>64</v>
      </c>
      <c r="AX3" s="46" t="s">
        <v>65</v>
      </c>
      <c r="BK3" s="50" t="s">
        <v>66</v>
      </c>
      <c r="BL3" s="51" t="s">
        <v>67</v>
      </c>
      <c r="BM3" s="52" t="s">
        <v>68</v>
      </c>
      <c r="BN3" s="53" t="s">
        <v>69</v>
      </c>
      <c r="BO3" s="54" t="s">
        <v>70</v>
      </c>
      <c r="BP3" s="54" t="s">
        <v>71</v>
      </c>
      <c r="BQ3" s="54" t="s">
        <v>72</v>
      </c>
      <c r="CE3" s="50" t="s">
        <v>73</v>
      </c>
      <c r="CF3" s="55" t="s">
        <v>74</v>
      </c>
      <c r="CG3" s="52" t="s">
        <v>68</v>
      </c>
      <c r="CH3" s="53" t="s">
        <v>69</v>
      </c>
      <c r="CI3" s="54" t="s">
        <v>70</v>
      </c>
      <c r="CJ3" s="54" t="s">
        <v>71</v>
      </c>
      <c r="CK3" s="54" t="s">
        <v>72</v>
      </c>
      <c r="CZ3" s="50" t="s">
        <v>75</v>
      </c>
      <c r="DA3" s="51" t="s">
        <v>76</v>
      </c>
      <c r="DB3" s="56" t="s">
        <v>77</v>
      </c>
      <c r="DC3" s="53" t="s">
        <v>69</v>
      </c>
      <c r="DD3" s="54" t="s">
        <v>70</v>
      </c>
      <c r="DE3" s="54" t="s">
        <v>71</v>
      </c>
      <c r="DF3" s="54" t="s">
        <v>72</v>
      </c>
    </row>
    <row r="4" spans="1:111" ht="22.5" x14ac:dyDescent="0.25">
      <c r="A4" s="125" t="s">
        <v>52</v>
      </c>
      <c r="B4" s="126"/>
      <c r="C4" s="48" t="s">
        <v>53</v>
      </c>
      <c r="D4" s="48" t="s">
        <v>54</v>
      </c>
      <c r="E4" s="48" t="s">
        <v>55</v>
      </c>
      <c r="F4" s="133" t="s">
        <v>56</v>
      </c>
      <c r="G4" s="134"/>
      <c r="H4" s="48" t="s">
        <v>57</v>
      </c>
      <c r="I4" s="49" t="s">
        <v>58</v>
      </c>
      <c r="M4" s="46" t="s">
        <v>78</v>
      </c>
      <c r="N4" s="46" t="s">
        <v>79</v>
      </c>
      <c r="O4" s="46" t="s">
        <v>80</v>
      </c>
      <c r="P4" s="46" t="s">
        <v>81</v>
      </c>
      <c r="Q4" s="46" t="s">
        <v>82</v>
      </c>
      <c r="R4" s="46" t="s">
        <v>83</v>
      </c>
      <c r="S4" s="46" t="s">
        <v>84</v>
      </c>
      <c r="AH4" s="58" t="s">
        <v>85</v>
      </c>
      <c r="AI4" s="57" t="s">
        <v>86</v>
      </c>
      <c r="AJ4" s="48" t="s">
        <v>87</v>
      </c>
      <c r="AK4" s="48" t="s">
        <v>88</v>
      </c>
      <c r="AL4" s="48" t="s">
        <v>87</v>
      </c>
      <c r="AM4" s="48" t="s">
        <v>87</v>
      </c>
      <c r="AN4" s="48" t="s">
        <v>87</v>
      </c>
      <c r="AO4" s="49" t="s">
        <v>87</v>
      </c>
      <c r="AR4" s="42">
        <v>1590</v>
      </c>
      <c r="AS4" s="42">
        <v>73.900000000000006</v>
      </c>
      <c r="AT4" s="42">
        <v>23.4</v>
      </c>
      <c r="AU4" s="42">
        <v>22.3</v>
      </c>
      <c r="AV4" s="42">
        <v>7.73</v>
      </c>
      <c r="AW4" s="42">
        <v>13.15</v>
      </c>
      <c r="AX4" s="42">
        <v>9.15</v>
      </c>
      <c r="BK4" s="59">
        <v>0</v>
      </c>
      <c r="BL4" s="60">
        <v>42</v>
      </c>
      <c r="BM4" s="61"/>
      <c r="BN4" s="61"/>
      <c r="BO4" s="61"/>
      <c r="BP4" s="61"/>
      <c r="BQ4" s="61"/>
      <c r="CE4" s="59">
        <v>0</v>
      </c>
      <c r="CF4" s="60">
        <v>42</v>
      </c>
      <c r="CG4" s="61"/>
      <c r="CH4" s="61"/>
      <c r="CI4" s="61"/>
      <c r="CJ4" s="61"/>
      <c r="CK4" s="61"/>
      <c r="CZ4" s="59">
        <v>0</v>
      </c>
      <c r="DA4" s="60">
        <v>42</v>
      </c>
      <c r="DB4" s="61"/>
      <c r="DC4" s="61"/>
      <c r="DD4" s="61"/>
      <c r="DE4" s="61"/>
      <c r="DF4" s="61"/>
    </row>
    <row r="5" spans="1:111" x14ac:dyDescent="0.25">
      <c r="A5" s="58" t="s">
        <v>85</v>
      </c>
      <c r="B5" s="57" t="s">
        <v>86</v>
      </c>
      <c r="C5" s="48" t="s">
        <v>87</v>
      </c>
      <c r="D5" s="48" t="s">
        <v>88</v>
      </c>
      <c r="E5" s="48" t="s">
        <v>87</v>
      </c>
      <c r="F5" s="133" t="s">
        <v>87</v>
      </c>
      <c r="G5" s="134"/>
      <c r="H5" s="48" t="s">
        <v>87</v>
      </c>
      <c r="I5" s="49" t="s">
        <v>87</v>
      </c>
      <c r="M5" s="42">
        <v>1590</v>
      </c>
      <c r="N5" s="42">
        <v>73.400000000000006</v>
      </c>
      <c r="O5" s="42">
        <v>23.13</v>
      </c>
      <c r="P5" s="42">
        <v>22.17</v>
      </c>
      <c r="Q5" s="42">
        <v>7.56</v>
      </c>
      <c r="R5" s="42">
        <v>12.9</v>
      </c>
      <c r="S5" s="42">
        <v>9.27</v>
      </c>
      <c r="AH5" s="62">
        <v>1590</v>
      </c>
      <c r="AI5" s="63">
        <v>3.5</v>
      </c>
      <c r="AJ5" s="64">
        <v>73.900000000000006</v>
      </c>
      <c r="AK5" s="65">
        <v>23.4</v>
      </c>
      <c r="AL5" s="65">
        <v>22.3</v>
      </c>
      <c r="AM5" s="65">
        <v>7.73</v>
      </c>
      <c r="AN5" s="65">
        <v>13.15</v>
      </c>
      <c r="AO5" s="66">
        <v>9.15</v>
      </c>
      <c r="AR5" s="42">
        <v>1700</v>
      </c>
      <c r="AS5" s="42">
        <v>74.150000000000006</v>
      </c>
      <c r="AT5" s="42">
        <v>23.75</v>
      </c>
      <c r="AU5" s="42">
        <v>22.34</v>
      </c>
      <c r="AV5" s="42">
        <v>7.71</v>
      </c>
      <c r="AW5" s="42">
        <v>13.22</v>
      </c>
      <c r="AX5" s="42">
        <v>9.1199999999999992</v>
      </c>
      <c r="BK5" s="67">
        <v>1</v>
      </c>
      <c r="BL5" s="68">
        <v>55</v>
      </c>
      <c r="BM5" s="68">
        <v>13</v>
      </c>
      <c r="BN5" s="69"/>
      <c r="BO5" s="69"/>
      <c r="BP5" s="69"/>
      <c r="BQ5" s="69"/>
      <c r="CE5" s="67">
        <v>1</v>
      </c>
      <c r="CF5" s="68">
        <v>56</v>
      </c>
      <c r="CG5" s="68">
        <v>14</v>
      </c>
      <c r="CH5" s="69"/>
      <c r="CI5" s="69"/>
      <c r="CJ5" s="69"/>
      <c r="CK5" s="69"/>
      <c r="CZ5" s="67">
        <v>1</v>
      </c>
      <c r="DA5" s="68">
        <v>54</v>
      </c>
      <c r="DB5" s="68">
        <v>12</v>
      </c>
      <c r="DC5" s="69"/>
      <c r="DD5" s="69"/>
      <c r="DE5" s="69"/>
      <c r="DF5" s="69"/>
    </row>
    <row r="6" spans="1:111" x14ac:dyDescent="0.25">
      <c r="A6" s="62">
        <v>1590</v>
      </c>
      <c r="B6" s="63">
        <v>3.5</v>
      </c>
      <c r="C6" s="64">
        <v>73.400000000000006</v>
      </c>
      <c r="D6" s="65">
        <v>23.13</v>
      </c>
      <c r="E6" s="65">
        <v>22.17</v>
      </c>
      <c r="F6" s="131">
        <v>7.56</v>
      </c>
      <c r="G6" s="131"/>
      <c r="H6" s="70">
        <v>12.9</v>
      </c>
      <c r="I6" s="66">
        <v>9.27</v>
      </c>
      <c r="M6" s="42">
        <v>1700</v>
      </c>
      <c r="N6" s="42">
        <v>73.680000000000007</v>
      </c>
      <c r="O6" s="42">
        <v>23.45</v>
      </c>
      <c r="P6" s="42">
        <v>22.27</v>
      </c>
      <c r="Q6" s="42">
        <v>7.56</v>
      </c>
      <c r="R6" s="42">
        <v>13</v>
      </c>
      <c r="S6" s="42">
        <v>9.27</v>
      </c>
      <c r="AH6" s="71">
        <v>1700</v>
      </c>
      <c r="AI6" s="72">
        <v>3.75</v>
      </c>
      <c r="AJ6" s="73">
        <v>74.150000000000006</v>
      </c>
      <c r="AK6" s="74">
        <v>23.75</v>
      </c>
      <c r="AL6" s="74">
        <v>22.34</v>
      </c>
      <c r="AM6" s="74">
        <v>7.71</v>
      </c>
      <c r="AN6" s="74">
        <v>13.22</v>
      </c>
      <c r="AO6" s="75">
        <v>9.1199999999999992</v>
      </c>
      <c r="AR6" s="42">
        <v>1810</v>
      </c>
      <c r="AS6" s="42">
        <v>74.349999999999994</v>
      </c>
      <c r="AT6" s="42">
        <v>24.1</v>
      </c>
      <c r="AU6" s="42">
        <v>22.38</v>
      </c>
      <c r="AV6" s="42">
        <v>7.68</v>
      </c>
      <c r="AW6" s="42">
        <v>13.28</v>
      </c>
      <c r="AX6" s="42">
        <v>9.1</v>
      </c>
      <c r="BK6" s="59">
        <v>2</v>
      </c>
      <c r="BL6" s="60">
        <v>71</v>
      </c>
      <c r="BM6" s="60">
        <v>16</v>
      </c>
      <c r="BN6" s="61"/>
      <c r="BO6" s="61"/>
      <c r="BP6" s="61"/>
      <c r="BQ6" s="61"/>
      <c r="CE6" s="59">
        <v>2</v>
      </c>
      <c r="CF6" s="60">
        <v>72</v>
      </c>
      <c r="CG6" s="60">
        <v>16</v>
      </c>
      <c r="CH6" s="61"/>
      <c r="CI6" s="61"/>
      <c r="CJ6" s="61"/>
      <c r="CK6" s="61"/>
      <c r="CZ6" s="59">
        <v>2</v>
      </c>
      <c r="DA6" s="60">
        <v>70</v>
      </c>
      <c r="DB6" s="60">
        <v>16</v>
      </c>
      <c r="DC6" s="61"/>
      <c r="DD6" s="61"/>
      <c r="DE6" s="61"/>
      <c r="DF6" s="61"/>
    </row>
    <row r="7" spans="1:111" x14ac:dyDescent="0.25">
      <c r="A7" s="71">
        <v>1700</v>
      </c>
      <c r="B7" s="72">
        <v>3.75</v>
      </c>
      <c r="C7" s="73">
        <v>73.680000000000007</v>
      </c>
      <c r="D7" s="74">
        <v>23.45</v>
      </c>
      <c r="E7" s="74">
        <v>22.27</v>
      </c>
      <c r="F7" s="130">
        <v>7.56</v>
      </c>
      <c r="G7" s="130"/>
      <c r="H7" s="74">
        <v>13</v>
      </c>
      <c r="I7" s="75">
        <v>9.27</v>
      </c>
      <c r="M7" s="42">
        <v>1810</v>
      </c>
      <c r="N7" s="42">
        <v>73.900000000000006</v>
      </c>
      <c r="O7" s="42">
        <v>23.78</v>
      </c>
      <c r="P7" s="42">
        <v>22.38</v>
      </c>
      <c r="Q7" s="42">
        <v>7.56</v>
      </c>
      <c r="R7" s="42">
        <v>13.1</v>
      </c>
      <c r="S7" s="42">
        <v>9.2799999999999994</v>
      </c>
      <c r="AH7" s="62">
        <v>1810</v>
      </c>
      <c r="AI7" s="63">
        <v>4</v>
      </c>
      <c r="AJ7" s="64">
        <v>74.349999999999994</v>
      </c>
      <c r="AK7" s="65">
        <v>24.1</v>
      </c>
      <c r="AL7" s="65">
        <v>22.38</v>
      </c>
      <c r="AM7" s="65">
        <v>7.68</v>
      </c>
      <c r="AN7" s="65">
        <v>13.28</v>
      </c>
      <c r="AO7" s="66">
        <v>9.1</v>
      </c>
      <c r="AR7" s="42">
        <v>2040</v>
      </c>
      <c r="AS7" s="42">
        <v>74.75</v>
      </c>
      <c r="AT7" s="42">
        <v>24.8</v>
      </c>
      <c r="AU7" s="42">
        <v>22.48</v>
      </c>
      <c r="AV7" s="42">
        <v>7.64</v>
      </c>
      <c r="AW7" s="42">
        <v>13.4</v>
      </c>
      <c r="AX7" s="42">
        <v>9.08</v>
      </c>
      <c r="BK7" s="67">
        <v>3</v>
      </c>
      <c r="BL7" s="68">
        <v>90</v>
      </c>
      <c r="BM7" s="68">
        <v>19</v>
      </c>
      <c r="BN7" s="69"/>
      <c r="BO7" s="69"/>
      <c r="BP7" s="69"/>
      <c r="BQ7" s="69"/>
      <c r="CE7" s="67">
        <v>3</v>
      </c>
      <c r="CF7" s="68">
        <v>92</v>
      </c>
      <c r="CG7" s="68">
        <v>20</v>
      </c>
      <c r="CH7" s="69"/>
      <c r="CI7" s="69"/>
      <c r="CJ7" s="69"/>
      <c r="CK7" s="69"/>
      <c r="CZ7" s="67">
        <v>3</v>
      </c>
      <c r="DA7" s="68">
        <v>88</v>
      </c>
      <c r="DB7" s="68">
        <v>18</v>
      </c>
      <c r="DC7" s="69"/>
      <c r="DD7" s="69"/>
      <c r="DE7" s="69"/>
      <c r="DF7" s="69"/>
    </row>
    <row r="8" spans="1:111" x14ac:dyDescent="0.25">
      <c r="A8" s="62">
        <v>1810</v>
      </c>
      <c r="B8" s="63">
        <v>4</v>
      </c>
      <c r="C8" s="64">
        <v>73.900000000000006</v>
      </c>
      <c r="D8" s="65">
        <v>23.78</v>
      </c>
      <c r="E8" s="65">
        <v>22.38</v>
      </c>
      <c r="F8" s="131">
        <v>7.56</v>
      </c>
      <c r="G8" s="131"/>
      <c r="H8" s="65">
        <v>13.1</v>
      </c>
      <c r="I8" s="66">
        <v>9.2799999999999994</v>
      </c>
      <c r="M8" s="42">
        <v>2040</v>
      </c>
      <c r="N8" s="42">
        <v>74.38</v>
      </c>
      <c r="O8" s="42">
        <v>24.4</v>
      </c>
      <c r="P8" s="42">
        <v>22.58</v>
      </c>
      <c r="Q8" s="42">
        <v>7.57</v>
      </c>
      <c r="R8" s="42">
        <v>13.28</v>
      </c>
      <c r="S8" s="42">
        <v>9.3000000000000007</v>
      </c>
      <c r="AH8" s="71">
        <v>2040</v>
      </c>
      <c r="AI8" s="72">
        <v>4.5</v>
      </c>
      <c r="AJ8" s="73">
        <v>74.75</v>
      </c>
      <c r="AK8" s="74">
        <v>24.8</v>
      </c>
      <c r="AL8" s="74">
        <v>22.48</v>
      </c>
      <c r="AM8" s="74">
        <v>7.64</v>
      </c>
      <c r="AN8" s="74">
        <v>13.4</v>
      </c>
      <c r="AO8" s="75">
        <v>9.08</v>
      </c>
      <c r="AR8" s="42">
        <v>2270</v>
      </c>
      <c r="AS8" s="42">
        <v>75.150000000000006</v>
      </c>
      <c r="AT8" s="42">
        <v>25.45</v>
      </c>
      <c r="AU8" s="42">
        <v>22.54</v>
      </c>
      <c r="AV8" s="42">
        <v>7.61</v>
      </c>
      <c r="AW8" s="42">
        <v>13.48</v>
      </c>
      <c r="AX8" s="42">
        <v>9.06</v>
      </c>
      <c r="BK8" s="59">
        <v>4</v>
      </c>
      <c r="BL8" s="60">
        <v>112</v>
      </c>
      <c r="BM8" s="60">
        <v>22</v>
      </c>
      <c r="BN8" s="61"/>
      <c r="BO8" s="61"/>
      <c r="BP8" s="61"/>
      <c r="BQ8" s="61"/>
      <c r="CE8" s="59">
        <v>4</v>
      </c>
      <c r="CF8" s="60">
        <v>114</v>
      </c>
      <c r="CG8" s="60">
        <v>22</v>
      </c>
      <c r="CH8" s="61"/>
      <c r="CI8" s="61"/>
      <c r="CJ8" s="61"/>
      <c r="CK8" s="61"/>
      <c r="CZ8" s="59">
        <v>4</v>
      </c>
      <c r="DA8" s="60">
        <v>110</v>
      </c>
      <c r="DB8" s="60">
        <v>22</v>
      </c>
      <c r="DC8" s="61"/>
      <c r="DD8" s="61"/>
      <c r="DE8" s="61"/>
      <c r="DF8" s="61"/>
    </row>
    <row r="9" spans="1:111" x14ac:dyDescent="0.25">
      <c r="A9" s="71">
        <v>2040</v>
      </c>
      <c r="B9" s="72">
        <v>4.5</v>
      </c>
      <c r="C9" s="73">
        <v>74.38</v>
      </c>
      <c r="D9" s="74">
        <v>24.4</v>
      </c>
      <c r="E9" s="74">
        <v>22.58</v>
      </c>
      <c r="F9" s="130">
        <v>7.57</v>
      </c>
      <c r="G9" s="130"/>
      <c r="H9" s="74">
        <v>13.28</v>
      </c>
      <c r="I9" s="75">
        <v>9.3000000000000007</v>
      </c>
      <c r="M9" s="42">
        <v>2270</v>
      </c>
      <c r="N9" s="42">
        <v>74.8</v>
      </c>
      <c r="O9" s="42">
        <v>24.98</v>
      </c>
      <c r="P9" s="42">
        <v>22.74</v>
      </c>
      <c r="Q9" s="42">
        <v>7.57</v>
      </c>
      <c r="R9" s="42">
        <v>13.42</v>
      </c>
      <c r="S9" s="42">
        <v>9.32</v>
      </c>
      <c r="AH9" s="62">
        <v>2270</v>
      </c>
      <c r="AI9" s="63">
        <v>5</v>
      </c>
      <c r="AJ9" s="64">
        <v>75.150000000000006</v>
      </c>
      <c r="AK9" s="65">
        <v>25.45</v>
      </c>
      <c r="AL9" s="65">
        <v>22.54</v>
      </c>
      <c r="AM9" s="65">
        <v>7.61</v>
      </c>
      <c r="AN9" s="65">
        <v>13.48</v>
      </c>
      <c r="AO9" s="66">
        <v>9.06</v>
      </c>
      <c r="AR9" s="42">
        <v>2500</v>
      </c>
      <c r="AS9" s="42">
        <v>75.5</v>
      </c>
      <c r="AT9" s="42">
        <v>26.1</v>
      </c>
      <c r="AU9" s="42">
        <v>22.59</v>
      </c>
      <c r="AV9" s="42">
        <v>7.57</v>
      </c>
      <c r="AW9" s="42">
        <v>13.55</v>
      </c>
      <c r="AX9" s="42">
        <v>9.0399999999999991</v>
      </c>
      <c r="BK9" s="67">
        <v>5</v>
      </c>
      <c r="BL9" s="68">
        <v>138</v>
      </c>
      <c r="BM9" s="68">
        <v>26</v>
      </c>
      <c r="BN9" s="69"/>
      <c r="BO9" s="69"/>
      <c r="BP9" s="69"/>
      <c r="BQ9" s="69"/>
      <c r="CE9" s="67">
        <v>5</v>
      </c>
      <c r="CF9" s="68">
        <v>141</v>
      </c>
      <c r="CG9" s="68">
        <v>27</v>
      </c>
      <c r="CH9" s="69"/>
      <c r="CI9" s="69"/>
      <c r="CJ9" s="69"/>
      <c r="CK9" s="69"/>
      <c r="CZ9" s="67">
        <v>5</v>
      </c>
      <c r="DA9" s="68">
        <v>135</v>
      </c>
      <c r="DB9" s="68">
        <v>25</v>
      </c>
      <c r="DC9" s="69"/>
      <c r="DD9" s="69"/>
      <c r="DE9" s="69"/>
      <c r="DF9" s="69"/>
    </row>
    <row r="10" spans="1:111" x14ac:dyDescent="0.25">
      <c r="A10" s="62">
        <v>2270</v>
      </c>
      <c r="B10" s="63">
        <v>5</v>
      </c>
      <c r="C10" s="64">
        <v>74.8</v>
      </c>
      <c r="D10" s="65">
        <v>24.98</v>
      </c>
      <c r="E10" s="65">
        <v>22.74</v>
      </c>
      <c r="F10" s="131">
        <v>7.57</v>
      </c>
      <c r="G10" s="131"/>
      <c r="H10" s="65">
        <v>13.42</v>
      </c>
      <c r="I10" s="66">
        <v>9.32</v>
      </c>
      <c r="M10" s="42">
        <v>2500</v>
      </c>
      <c r="N10" s="42">
        <v>75.2</v>
      </c>
      <c r="O10" s="42">
        <v>25.55</v>
      </c>
      <c r="P10" s="42">
        <v>22.88</v>
      </c>
      <c r="Q10" s="42">
        <v>7.58</v>
      </c>
      <c r="R10" s="42">
        <v>13.55</v>
      </c>
      <c r="S10" s="42">
        <v>9.33</v>
      </c>
      <c r="AH10" s="71">
        <v>2500</v>
      </c>
      <c r="AI10" s="72">
        <v>5.5</v>
      </c>
      <c r="AJ10" s="73">
        <v>75.5</v>
      </c>
      <c r="AK10" s="74">
        <v>26.1</v>
      </c>
      <c r="AL10" s="74">
        <v>22.59</v>
      </c>
      <c r="AM10" s="74">
        <v>7.57</v>
      </c>
      <c r="AN10" s="74">
        <v>13.55</v>
      </c>
      <c r="AO10" s="75">
        <v>9.0399999999999991</v>
      </c>
      <c r="AR10" s="42">
        <v>2730</v>
      </c>
      <c r="AS10" s="42">
        <v>75.8</v>
      </c>
      <c r="AT10" s="42">
        <v>26.7</v>
      </c>
      <c r="AU10" s="42">
        <v>22.65</v>
      </c>
      <c r="AV10" s="42">
        <v>7.54</v>
      </c>
      <c r="AW10" s="42">
        <v>13.62</v>
      </c>
      <c r="AX10" s="42">
        <v>9.0299999999999994</v>
      </c>
      <c r="BK10" s="59">
        <v>6</v>
      </c>
      <c r="BL10" s="60">
        <v>168</v>
      </c>
      <c r="BM10" s="60">
        <v>30</v>
      </c>
      <c r="BN10" s="61"/>
      <c r="BO10" s="61"/>
      <c r="BP10" s="61"/>
      <c r="BQ10" s="61"/>
      <c r="CE10" s="59">
        <v>6</v>
      </c>
      <c r="CF10" s="60">
        <v>171</v>
      </c>
      <c r="CG10" s="60">
        <v>30</v>
      </c>
      <c r="CH10" s="61"/>
      <c r="CI10" s="61"/>
      <c r="CJ10" s="61"/>
      <c r="CK10" s="61"/>
      <c r="CZ10" s="59">
        <v>6</v>
      </c>
      <c r="DA10" s="60">
        <v>165</v>
      </c>
      <c r="DB10" s="60">
        <v>30</v>
      </c>
      <c r="DC10" s="61"/>
      <c r="DD10" s="61"/>
      <c r="DE10" s="61"/>
      <c r="DF10" s="61"/>
    </row>
    <row r="11" spans="1:111" x14ac:dyDescent="0.25">
      <c r="A11" s="71">
        <v>2500</v>
      </c>
      <c r="B11" s="72">
        <v>5.5</v>
      </c>
      <c r="C11" s="73">
        <v>75.2</v>
      </c>
      <c r="D11" s="74">
        <v>25.55</v>
      </c>
      <c r="E11" s="74">
        <v>22.88</v>
      </c>
      <c r="F11" s="130">
        <v>7.58</v>
      </c>
      <c r="G11" s="130"/>
      <c r="H11" s="74">
        <v>13.55</v>
      </c>
      <c r="I11" s="75">
        <v>9.33</v>
      </c>
      <c r="M11" s="42">
        <v>2730</v>
      </c>
      <c r="N11" s="42">
        <v>75.55</v>
      </c>
      <c r="O11" s="42">
        <v>26.05</v>
      </c>
      <c r="P11" s="42">
        <v>23.01</v>
      </c>
      <c r="Q11" s="42">
        <v>7.58</v>
      </c>
      <c r="R11" s="42">
        <v>13.66</v>
      </c>
      <c r="S11" s="42">
        <v>9.35</v>
      </c>
      <c r="AH11" s="62">
        <v>2730</v>
      </c>
      <c r="AI11" s="63">
        <v>6</v>
      </c>
      <c r="AJ11" s="64">
        <v>75.8</v>
      </c>
      <c r="AK11" s="65">
        <v>26.7</v>
      </c>
      <c r="AL11" s="65">
        <v>22.65</v>
      </c>
      <c r="AM11" s="65">
        <v>7.54</v>
      </c>
      <c r="AN11" s="65">
        <v>13.62</v>
      </c>
      <c r="AO11" s="66">
        <v>9.0299999999999994</v>
      </c>
      <c r="AR11" s="42">
        <v>2950</v>
      </c>
      <c r="AS11" s="42">
        <v>76.05</v>
      </c>
      <c r="AT11" s="42">
        <v>27.2</v>
      </c>
      <c r="AU11" s="42">
        <v>22.69</v>
      </c>
      <c r="AV11" s="42">
        <v>7.51</v>
      </c>
      <c r="AW11" s="42">
        <v>13.68</v>
      </c>
      <c r="AX11" s="42">
        <v>9.01</v>
      </c>
      <c r="BK11" s="76">
        <v>7</v>
      </c>
      <c r="BL11" s="77">
        <v>202</v>
      </c>
      <c r="BM11" s="77">
        <v>34</v>
      </c>
      <c r="BN11" s="78">
        <v>22.9</v>
      </c>
      <c r="BO11" s="79">
        <v>0.89100000000000001</v>
      </c>
      <c r="BP11" s="80"/>
      <c r="BQ11" s="77">
        <v>180</v>
      </c>
      <c r="CE11" s="76">
        <v>7</v>
      </c>
      <c r="CF11" s="77">
        <v>205</v>
      </c>
      <c r="CG11" s="77">
        <v>34</v>
      </c>
      <c r="CH11" s="78">
        <v>23.3</v>
      </c>
      <c r="CI11" s="79">
        <v>0.88300000000000001</v>
      </c>
      <c r="CJ11" s="80"/>
      <c r="CK11" s="77">
        <v>182</v>
      </c>
      <c r="CZ11" s="76">
        <v>7</v>
      </c>
      <c r="DA11" s="77">
        <v>199</v>
      </c>
      <c r="DB11" s="77">
        <v>34</v>
      </c>
      <c r="DC11" s="78">
        <v>22.4</v>
      </c>
      <c r="DD11" s="79">
        <v>0.88400000000000001</v>
      </c>
      <c r="DE11" s="80"/>
      <c r="DF11" s="77">
        <v>176</v>
      </c>
    </row>
    <row r="12" spans="1:111" x14ac:dyDescent="0.25">
      <c r="A12" s="62">
        <v>2730</v>
      </c>
      <c r="B12" s="63">
        <v>6</v>
      </c>
      <c r="C12" s="64">
        <v>75.55</v>
      </c>
      <c r="D12" s="65">
        <v>26.05</v>
      </c>
      <c r="E12" s="65">
        <v>23.01</v>
      </c>
      <c r="F12" s="131">
        <v>7.58</v>
      </c>
      <c r="G12" s="131"/>
      <c r="H12" s="65">
        <v>13.66</v>
      </c>
      <c r="I12" s="66">
        <v>9.35</v>
      </c>
      <c r="M12" s="42">
        <v>2950</v>
      </c>
      <c r="N12" s="42">
        <v>75.849999999999994</v>
      </c>
      <c r="O12" s="42">
        <v>26.5</v>
      </c>
      <c r="P12" s="42">
        <v>23.12</v>
      </c>
      <c r="Q12" s="42">
        <v>7.58</v>
      </c>
      <c r="R12" s="42">
        <v>13.76</v>
      </c>
      <c r="S12" s="42">
        <v>9.36</v>
      </c>
      <c r="AH12" s="71">
        <v>2950</v>
      </c>
      <c r="AI12" s="72">
        <v>6.5</v>
      </c>
      <c r="AJ12" s="73">
        <v>76.05</v>
      </c>
      <c r="AK12" s="74">
        <v>27.2</v>
      </c>
      <c r="AL12" s="74">
        <v>22.69</v>
      </c>
      <c r="AM12" s="74">
        <v>7.51</v>
      </c>
      <c r="AN12" s="74">
        <v>13.68</v>
      </c>
      <c r="AO12" s="75">
        <v>9.01</v>
      </c>
      <c r="AR12" s="42">
        <v>3180</v>
      </c>
      <c r="AS12" s="42">
        <v>76.3</v>
      </c>
      <c r="AT12" s="42">
        <v>27.7</v>
      </c>
      <c r="AU12" s="42">
        <v>22.73</v>
      </c>
      <c r="AV12" s="42">
        <v>7.49</v>
      </c>
      <c r="AW12" s="42">
        <v>13.73</v>
      </c>
      <c r="AX12" s="42">
        <v>9</v>
      </c>
      <c r="BK12" s="81">
        <v>8</v>
      </c>
      <c r="BL12" s="82">
        <v>240</v>
      </c>
      <c r="BM12" s="82">
        <v>38</v>
      </c>
      <c r="BN12" s="83">
        <v>24.8</v>
      </c>
      <c r="BO12" s="84">
        <v>0.91700000000000004</v>
      </c>
      <c r="BP12" s="82">
        <v>40</v>
      </c>
      <c r="BQ12" s="82">
        <v>220</v>
      </c>
      <c r="CE12" s="81">
        <v>8</v>
      </c>
      <c r="CF12" s="82">
        <v>244</v>
      </c>
      <c r="CG12" s="82">
        <v>39</v>
      </c>
      <c r="CH12" s="83">
        <v>25.3</v>
      </c>
      <c r="CI12" s="84">
        <v>0.90600000000000003</v>
      </c>
      <c r="CJ12" s="82">
        <v>40</v>
      </c>
      <c r="CK12" s="82">
        <v>222</v>
      </c>
      <c r="CZ12" s="81">
        <v>8</v>
      </c>
      <c r="DA12" s="82">
        <v>236</v>
      </c>
      <c r="DB12" s="82">
        <v>37</v>
      </c>
      <c r="DC12" s="83">
        <v>24.3</v>
      </c>
      <c r="DD12" s="84">
        <v>0.91500000000000004</v>
      </c>
      <c r="DE12" s="82">
        <v>40</v>
      </c>
      <c r="DF12" s="82">
        <v>216</v>
      </c>
    </row>
    <row r="13" spans="1:111" x14ac:dyDescent="0.25">
      <c r="A13" s="71">
        <v>2950</v>
      </c>
      <c r="B13" s="72">
        <v>6.5</v>
      </c>
      <c r="C13" s="73">
        <v>75.849999999999994</v>
      </c>
      <c r="D13" s="74">
        <v>26.5</v>
      </c>
      <c r="E13" s="74">
        <v>23.12</v>
      </c>
      <c r="F13" s="130">
        <v>7.58</v>
      </c>
      <c r="G13" s="130"/>
      <c r="H13" s="74">
        <v>13.76</v>
      </c>
      <c r="I13" s="75">
        <v>9.36</v>
      </c>
      <c r="M13" s="42">
        <v>3180</v>
      </c>
      <c r="N13" s="42">
        <v>76.150000000000006</v>
      </c>
      <c r="O13" s="42">
        <v>26.93</v>
      </c>
      <c r="P13" s="42">
        <v>23.22</v>
      </c>
      <c r="Q13" s="42">
        <v>7.58</v>
      </c>
      <c r="R13" s="42">
        <v>13.85</v>
      </c>
      <c r="S13" s="42">
        <v>9.3699999999999992</v>
      </c>
      <c r="AH13" s="62">
        <v>3180</v>
      </c>
      <c r="AI13" s="63">
        <v>7</v>
      </c>
      <c r="AJ13" s="64">
        <v>76.3</v>
      </c>
      <c r="AK13" s="65">
        <v>27.7</v>
      </c>
      <c r="AL13" s="65">
        <v>22.73</v>
      </c>
      <c r="AM13" s="65">
        <v>7.49</v>
      </c>
      <c r="AN13" s="65">
        <v>13.73</v>
      </c>
      <c r="AO13" s="66">
        <v>9</v>
      </c>
      <c r="AR13" s="42">
        <v>3400</v>
      </c>
      <c r="AS13" s="42">
        <v>76.55</v>
      </c>
      <c r="AT13" s="42">
        <v>28.15</v>
      </c>
      <c r="AU13" s="42">
        <v>22.75</v>
      </c>
      <c r="AV13" s="42">
        <v>7.46</v>
      </c>
      <c r="AW13" s="42">
        <v>13.77</v>
      </c>
      <c r="AX13" s="42">
        <v>8.98</v>
      </c>
      <c r="BK13" s="67">
        <v>9</v>
      </c>
      <c r="BL13" s="68">
        <v>283</v>
      </c>
      <c r="BM13" s="68">
        <v>43</v>
      </c>
      <c r="BN13" s="85">
        <v>26.8</v>
      </c>
      <c r="BO13" s="86">
        <v>0.93300000000000005</v>
      </c>
      <c r="BP13" s="68">
        <v>44</v>
      </c>
      <c r="BQ13" s="68">
        <v>264</v>
      </c>
      <c r="CE13" s="67">
        <v>9</v>
      </c>
      <c r="CF13" s="68">
        <v>289</v>
      </c>
      <c r="CG13" s="68">
        <v>45</v>
      </c>
      <c r="CH13" s="85">
        <v>27.4</v>
      </c>
      <c r="CI13" s="86">
        <v>0.92</v>
      </c>
      <c r="CJ13" s="68">
        <v>45</v>
      </c>
      <c r="CK13" s="68">
        <v>267</v>
      </c>
      <c r="CZ13" s="67">
        <v>9</v>
      </c>
      <c r="DA13" s="68">
        <v>276</v>
      </c>
      <c r="DB13" s="68">
        <v>40</v>
      </c>
      <c r="DC13" s="85">
        <v>26</v>
      </c>
      <c r="DD13" s="86">
        <v>0.93500000000000005</v>
      </c>
      <c r="DE13" s="68">
        <v>42</v>
      </c>
      <c r="DF13" s="68">
        <v>258</v>
      </c>
    </row>
    <row r="14" spans="1:111" x14ac:dyDescent="0.25">
      <c r="A14" s="62">
        <v>3180</v>
      </c>
      <c r="B14" s="63">
        <v>7</v>
      </c>
      <c r="C14" s="64">
        <v>76.150000000000006</v>
      </c>
      <c r="D14" s="65">
        <v>26.93</v>
      </c>
      <c r="E14" s="65">
        <v>23.22</v>
      </c>
      <c r="F14" s="131">
        <v>7.58</v>
      </c>
      <c r="G14" s="131"/>
      <c r="H14" s="65">
        <v>13.85</v>
      </c>
      <c r="I14" s="66">
        <v>9.3699999999999992</v>
      </c>
      <c r="M14" s="42">
        <v>3400</v>
      </c>
      <c r="N14" s="42">
        <v>76.45</v>
      </c>
      <c r="O14" s="42">
        <v>27.3</v>
      </c>
      <c r="P14" s="42">
        <v>23.33</v>
      </c>
      <c r="Q14" s="42">
        <v>7.59</v>
      </c>
      <c r="R14" s="42">
        <v>13.95</v>
      </c>
      <c r="S14" s="42">
        <v>9.3800000000000008</v>
      </c>
      <c r="AH14" s="71">
        <v>3400</v>
      </c>
      <c r="AI14" s="72">
        <v>7.5</v>
      </c>
      <c r="AJ14" s="73">
        <v>76.55</v>
      </c>
      <c r="AK14" s="74">
        <v>28.15</v>
      </c>
      <c r="AL14" s="74">
        <v>22.75</v>
      </c>
      <c r="AM14" s="74">
        <v>7.46</v>
      </c>
      <c r="AN14" s="74">
        <v>13.77</v>
      </c>
      <c r="AO14" s="75">
        <v>8.98</v>
      </c>
      <c r="AR14" s="42">
        <v>3630</v>
      </c>
      <c r="AS14" s="42">
        <v>76.8</v>
      </c>
      <c r="AT14" s="42">
        <v>28.6</v>
      </c>
      <c r="AU14" s="42">
        <v>22.78</v>
      </c>
      <c r="AV14" s="42">
        <v>7.44</v>
      </c>
      <c r="AW14" s="42">
        <v>13.82</v>
      </c>
      <c r="AX14" s="42">
        <v>8.9600000000000009</v>
      </c>
      <c r="BK14" s="59">
        <v>10</v>
      </c>
      <c r="BL14" s="60">
        <v>330</v>
      </c>
      <c r="BM14" s="60">
        <v>47</v>
      </c>
      <c r="BN14" s="87">
        <v>28.8</v>
      </c>
      <c r="BO14" s="88">
        <v>0.95199999999999996</v>
      </c>
      <c r="BP14" s="60">
        <v>50</v>
      </c>
      <c r="BQ14" s="60">
        <v>314</v>
      </c>
      <c r="CE14" s="59">
        <v>10</v>
      </c>
      <c r="CF14" s="60">
        <v>339</v>
      </c>
      <c r="CG14" s="60">
        <v>50</v>
      </c>
      <c r="CH14" s="87">
        <v>29.7</v>
      </c>
      <c r="CI14" s="88">
        <v>0.93799999999999994</v>
      </c>
      <c r="CJ14" s="60">
        <v>52</v>
      </c>
      <c r="CK14" s="60">
        <v>319</v>
      </c>
      <c r="CZ14" s="59">
        <v>10</v>
      </c>
      <c r="DA14" s="60">
        <v>320</v>
      </c>
      <c r="DB14" s="60">
        <v>44</v>
      </c>
      <c r="DC14" s="87">
        <v>27.8</v>
      </c>
      <c r="DD14" s="88">
        <v>0.95599999999999996</v>
      </c>
      <c r="DE14" s="60">
        <v>48</v>
      </c>
      <c r="DF14" s="60">
        <v>306</v>
      </c>
    </row>
    <row r="15" spans="1:111" x14ac:dyDescent="0.25">
      <c r="A15" s="71">
        <v>3400</v>
      </c>
      <c r="B15" s="72">
        <v>7.5</v>
      </c>
      <c r="C15" s="73">
        <v>76.45</v>
      </c>
      <c r="D15" s="74">
        <v>27.3</v>
      </c>
      <c r="E15" s="74">
        <v>23.33</v>
      </c>
      <c r="F15" s="130">
        <v>7.59</v>
      </c>
      <c r="G15" s="130"/>
      <c r="H15" s="74">
        <v>13.95</v>
      </c>
      <c r="I15" s="75">
        <v>9.3800000000000008</v>
      </c>
      <c r="M15" s="42">
        <v>3630</v>
      </c>
      <c r="N15" s="42">
        <v>76.75</v>
      </c>
      <c r="O15" s="42">
        <v>27.7</v>
      </c>
      <c r="P15" s="42">
        <v>23.44</v>
      </c>
      <c r="Q15" s="42">
        <v>7.59</v>
      </c>
      <c r="R15" s="42">
        <v>14.05</v>
      </c>
      <c r="S15" s="42">
        <v>9.39</v>
      </c>
      <c r="AH15" s="62">
        <v>3630</v>
      </c>
      <c r="AI15" s="63">
        <v>8</v>
      </c>
      <c r="AJ15" s="64">
        <v>76.8</v>
      </c>
      <c r="AK15" s="65">
        <v>28.6</v>
      </c>
      <c r="AL15" s="65">
        <v>22.78</v>
      </c>
      <c r="AM15" s="65">
        <v>7.44</v>
      </c>
      <c r="AN15" s="65">
        <v>13.82</v>
      </c>
      <c r="AO15" s="66">
        <v>8.9600000000000009</v>
      </c>
      <c r="AR15" s="42">
        <v>3860</v>
      </c>
      <c r="AS15" s="42">
        <v>77</v>
      </c>
      <c r="AT15" s="42">
        <v>29</v>
      </c>
      <c r="AU15" s="42">
        <v>22.8</v>
      </c>
      <c r="AV15" s="42">
        <v>7.42</v>
      </c>
      <c r="AW15" s="42">
        <v>13.86</v>
      </c>
      <c r="AX15" s="42">
        <v>8.94</v>
      </c>
      <c r="BK15" s="67">
        <v>11</v>
      </c>
      <c r="BL15" s="68">
        <v>382</v>
      </c>
      <c r="BM15" s="68">
        <v>52</v>
      </c>
      <c r="BN15" s="85">
        <v>30.9</v>
      </c>
      <c r="BO15" s="86">
        <v>0.97099999999999997</v>
      </c>
      <c r="BP15" s="68">
        <v>57</v>
      </c>
      <c r="BQ15" s="68">
        <v>371</v>
      </c>
      <c r="CE15" s="67">
        <v>11</v>
      </c>
      <c r="CF15" s="68">
        <v>395</v>
      </c>
      <c r="CG15" s="68">
        <v>56</v>
      </c>
      <c r="CH15" s="85">
        <v>32.1</v>
      </c>
      <c r="CI15" s="86">
        <v>0.95699999999999996</v>
      </c>
      <c r="CJ15" s="68">
        <v>60</v>
      </c>
      <c r="CK15" s="68">
        <v>379</v>
      </c>
      <c r="CZ15" s="67">
        <v>11</v>
      </c>
      <c r="DA15" s="68">
        <v>369</v>
      </c>
      <c r="DB15" s="68">
        <v>49</v>
      </c>
      <c r="DC15" s="85">
        <v>29.7</v>
      </c>
      <c r="DD15" s="86">
        <v>0.97599999999999998</v>
      </c>
      <c r="DE15" s="68">
        <v>54</v>
      </c>
      <c r="DF15" s="68">
        <v>360</v>
      </c>
    </row>
    <row r="16" spans="1:111" x14ac:dyDescent="0.25">
      <c r="A16" s="62">
        <v>3630</v>
      </c>
      <c r="B16" s="63">
        <v>8</v>
      </c>
      <c r="C16" s="64">
        <v>76.75</v>
      </c>
      <c r="D16" s="65">
        <v>27.7</v>
      </c>
      <c r="E16" s="65">
        <v>23.44</v>
      </c>
      <c r="F16" s="131">
        <v>7.59</v>
      </c>
      <c r="G16" s="131"/>
      <c r="H16" s="65">
        <v>14.05</v>
      </c>
      <c r="I16" s="66">
        <v>9.39</v>
      </c>
      <c r="M16" s="42">
        <v>3860</v>
      </c>
      <c r="N16" s="42">
        <v>77</v>
      </c>
      <c r="O16" s="42">
        <v>28.05</v>
      </c>
      <c r="P16" s="42">
        <v>23.55</v>
      </c>
      <c r="Q16" s="42">
        <v>7.59</v>
      </c>
      <c r="R16" s="42">
        <v>14.15</v>
      </c>
      <c r="S16" s="42">
        <v>9.4</v>
      </c>
      <c r="AH16" s="71">
        <v>3860</v>
      </c>
      <c r="AI16" s="72">
        <v>8.5</v>
      </c>
      <c r="AJ16" s="73">
        <v>77</v>
      </c>
      <c r="AK16" s="74">
        <v>29</v>
      </c>
      <c r="AL16" s="74">
        <v>22.8</v>
      </c>
      <c r="AM16" s="74">
        <v>7.42</v>
      </c>
      <c r="AN16" s="74">
        <v>13.86</v>
      </c>
      <c r="AO16" s="75">
        <v>8.94</v>
      </c>
      <c r="AR16" s="42">
        <v>4090</v>
      </c>
      <c r="AS16" s="42">
        <v>77.2</v>
      </c>
      <c r="AT16" s="42">
        <v>29.4</v>
      </c>
      <c r="AU16" s="42">
        <v>22.82</v>
      </c>
      <c r="AV16" s="42">
        <v>7.4</v>
      </c>
      <c r="AW16" s="42">
        <v>13.9</v>
      </c>
      <c r="AX16" s="42">
        <v>8.92</v>
      </c>
      <c r="BK16" s="59">
        <v>12</v>
      </c>
      <c r="BL16" s="60">
        <v>440</v>
      </c>
      <c r="BM16" s="60">
        <v>58</v>
      </c>
      <c r="BN16" s="87">
        <v>33.200000000000003</v>
      </c>
      <c r="BO16" s="88">
        <v>0.99099999999999999</v>
      </c>
      <c r="BP16" s="60">
        <v>64</v>
      </c>
      <c r="BQ16" s="60">
        <v>435</v>
      </c>
      <c r="CE16" s="59">
        <v>12</v>
      </c>
      <c r="CF16" s="60">
        <v>457</v>
      </c>
      <c r="CG16" s="60">
        <v>62</v>
      </c>
      <c r="CH16" s="87">
        <v>34.6</v>
      </c>
      <c r="CI16" s="88">
        <v>0.97599999999999998</v>
      </c>
      <c r="CJ16" s="60">
        <v>68</v>
      </c>
      <c r="CK16" s="60">
        <v>447</v>
      </c>
      <c r="CZ16" s="59">
        <v>12</v>
      </c>
      <c r="DA16" s="60">
        <v>421</v>
      </c>
      <c r="DB16" s="60">
        <v>52</v>
      </c>
      <c r="DC16" s="87">
        <v>31.6</v>
      </c>
      <c r="DD16" s="88">
        <v>0.998</v>
      </c>
      <c r="DE16" s="60">
        <v>60</v>
      </c>
      <c r="DF16" s="60">
        <v>420</v>
      </c>
    </row>
    <row r="17" spans="1:110" x14ac:dyDescent="0.25">
      <c r="A17" s="71">
        <v>3860</v>
      </c>
      <c r="B17" s="72">
        <v>8.5</v>
      </c>
      <c r="C17" s="73">
        <v>77</v>
      </c>
      <c r="D17" s="74">
        <v>28.05</v>
      </c>
      <c r="E17" s="74">
        <v>23.55</v>
      </c>
      <c r="F17" s="130">
        <v>7.59</v>
      </c>
      <c r="G17" s="130"/>
      <c r="H17" s="74">
        <v>14.15</v>
      </c>
      <c r="I17" s="75">
        <v>9.4</v>
      </c>
      <c r="M17" s="42">
        <v>4090</v>
      </c>
      <c r="N17" s="42">
        <v>77.25</v>
      </c>
      <c r="O17" s="42">
        <v>28.38</v>
      </c>
      <c r="P17" s="42">
        <v>23.62</v>
      </c>
      <c r="Q17" s="42">
        <v>7.59</v>
      </c>
      <c r="R17" s="42">
        <v>14.22</v>
      </c>
      <c r="S17" s="42">
        <v>9.4</v>
      </c>
      <c r="AH17" s="62">
        <v>4090</v>
      </c>
      <c r="AI17" s="63">
        <v>9</v>
      </c>
      <c r="AJ17" s="64">
        <v>77.2</v>
      </c>
      <c r="AK17" s="65">
        <v>29.4</v>
      </c>
      <c r="AL17" s="65">
        <v>22.82</v>
      </c>
      <c r="AM17" s="65">
        <v>7.4</v>
      </c>
      <c r="AN17" s="65">
        <v>13.9</v>
      </c>
      <c r="AO17" s="66">
        <v>8.92</v>
      </c>
      <c r="AR17" s="42">
        <v>4320</v>
      </c>
      <c r="AS17" s="42">
        <v>77.400000000000006</v>
      </c>
      <c r="AT17" s="42">
        <v>29.75</v>
      </c>
      <c r="AU17" s="42">
        <v>22.85</v>
      </c>
      <c r="AV17" s="42">
        <v>7.38</v>
      </c>
      <c r="AW17" s="42">
        <v>13.93</v>
      </c>
      <c r="AX17" s="42">
        <v>8.92</v>
      </c>
      <c r="BK17" s="67">
        <v>13</v>
      </c>
      <c r="BL17" s="68">
        <v>503</v>
      </c>
      <c r="BM17" s="68">
        <v>63</v>
      </c>
      <c r="BN17" s="85">
        <v>35.5</v>
      </c>
      <c r="BO17" s="86">
        <v>1.012</v>
      </c>
      <c r="BP17" s="68">
        <v>73</v>
      </c>
      <c r="BQ17" s="68">
        <v>508</v>
      </c>
      <c r="CE17" s="67">
        <v>13</v>
      </c>
      <c r="CF17" s="68">
        <v>525</v>
      </c>
      <c r="CG17" s="68">
        <v>68</v>
      </c>
      <c r="CH17" s="85">
        <v>37.200000000000003</v>
      </c>
      <c r="CI17" s="86">
        <v>0.998</v>
      </c>
      <c r="CJ17" s="68">
        <v>78</v>
      </c>
      <c r="CK17" s="68">
        <v>525</v>
      </c>
      <c r="CZ17" s="67">
        <v>13</v>
      </c>
      <c r="DA17" s="68">
        <v>478</v>
      </c>
      <c r="DB17" s="68">
        <v>57</v>
      </c>
      <c r="DC17" s="85">
        <v>33.5</v>
      </c>
      <c r="DD17" s="86">
        <v>1.0189999999999999</v>
      </c>
      <c r="DE17" s="68">
        <v>67</v>
      </c>
      <c r="DF17" s="68">
        <v>487</v>
      </c>
    </row>
    <row r="18" spans="1:110" x14ac:dyDescent="0.25">
      <c r="A18" s="62">
        <v>4090</v>
      </c>
      <c r="B18" s="63">
        <v>9</v>
      </c>
      <c r="C18" s="64">
        <v>77.25</v>
      </c>
      <c r="D18" s="65">
        <v>28.38</v>
      </c>
      <c r="E18" s="65">
        <v>23.62</v>
      </c>
      <c r="F18" s="131">
        <v>7.59</v>
      </c>
      <c r="G18" s="131"/>
      <c r="H18" s="65">
        <v>14.22</v>
      </c>
      <c r="I18" s="66">
        <v>9.4</v>
      </c>
      <c r="M18" s="42">
        <v>4320</v>
      </c>
      <c r="N18" s="42">
        <v>77.5</v>
      </c>
      <c r="O18" s="42">
        <v>28.68</v>
      </c>
      <c r="P18" s="42">
        <v>23.68</v>
      </c>
      <c r="Q18" s="42">
        <v>7.59</v>
      </c>
      <c r="R18" s="42">
        <v>14.26</v>
      </c>
      <c r="S18" s="42">
        <v>9.42</v>
      </c>
      <c r="AH18" s="71">
        <v>4320</v>
      </c>
      <c r="AI18" s="72">
        <v>9.5</v>
      </c>
      <c r="AJ18" s="73">
        <v>77.400000000000006</v>
      </c>
      <c r="AK18" s="74">
        <v>29.75</v>
      </c>
      <c r="AL18" s="74">
        <v>22.85</v>
      </c>
      <c r="AM18" s="74">
        <v>7.38</v>
      </c>
      <c r="AN18" s="74">
        <v>13.93</v>
      </c>
      <c r="AO18" s="75">
        <v>8.92</v>
      </c>
      <c r="BK18" s="89">
        <v>14</v>
      </c>
      <c r="BL18" s="90">
        <v>570</v>
      </c>
      <c r="BM18" s="90">
        <v>67</v>
      </c>
      <c r="BN18" s="91">
        <v>37.700000000000003</v>
      </c>
      <c r="BO18" s="92">
        <v>1.0289999999999999</v>
      </c>
      <c r="BP18" s="90">
        <v>80</v>
      </c>
      <c r="BQ18" s="90">
        <v>588</v>
      </c>
      <c r="CE18" s="89">
        <v>14</v>
      </c>
      <c r="CF18" s="90">
        <v>603</v>
      </c>
      <c r="CG18" s="90">
        <v>78</v>
      </c>
      <c r="CH18" s="91">
        <v>40.1</v>
      </c>
      <c r="CI18" s="92">
        <v>1.018</v>
      </c>
      <c r="CJ18" s="90">
        <v>90</v>
      </c>
      <c r="CK18" s="90">
        <v>615</v>
      </c>
      <c r="CZ18" s="89">
        <v>14</v>
      </c>
      <c r="DA18" s="90">
        <v>537</v>
      </c>
      <c r="DB18" s="90">
        <v>59</v>
      </c>
      <c r="DC18" s="91">
        <v>35.4</v>
      </c>
      <c r="DD18" s="92">
        <v>1.0409999999999999</v>
      </c>
      <c r="DE18" s="90">
        <v>72</v>
      </c>
      <c r="DF18" s="90">
        <v>559</v>
      </c>
    </row>
    <row r="19" spans="1:110" x14ac:dyDescent="0.25">
      <c r="A19" s="71">
        <v>4320</v>
      </c>
      <c r="B19" s="72">
        <v>9.5</v>
      </c>
      <c r="C19" s="73">
        <v>77.5</v>
      </c>
      <c r="D19" s="74">
        <v>28.68</v>
      </c>
      <c r="E19" s="74">
        <v>23.68</v>
      </c>
      <c r="F19" s="130">
        <v>7.59</v>
      </c>
      <c r="G19" s="130"/>
      <c r="H19" s="74">
        <v>14.26</v>
      </c>
      <c r="I19" s="75">
        <v>9.42</v>
      </c>
      <c r="AH19" s="46"/>
      <c r="AI19" s="74"/>
      <c r="AJ19" s="74"/>
      <c r="AK19" s="74"/>
      <c r="AL19" s="74"/>
      <c r="AM19" s="74"/>
      <c r="AN19" s="74"/>
      <c r="AO19" s="74"/>
      <c r="BK19" s="93">
        <v>15</v>
      </c>
      <c r="BL19" s="94">
        <v>639</v>
      </c>
      <c r="BM19" s="94">
        <v>69</v>
      </c>
      <c r="BN19" s="95">
        <v>39.799999999999997</v>
      </c>
      <c r="BO19" s="96">
        <v>1.05</v>
      </c>
      <c r="BP19" s="94">
        <v>84</v>
      </c>
      <c r="BQ19" s="94">
        <v>672</v>
      </c>
      <c r="CE19" s="93">
        <v>15</v>
      </c>
      <c r="CF19" s="94">
        <v>677</v>
      </c>
      <c r="CG19" s="94">
        <v>74</v>
      </c>
      <c r="CH19" s="95">
        <v>42.3</v>
      </c>
      <c r="CI19" s="96">
        <v>1.0389999999999999</v>
      </c>
      <c r="CJ19" s="94">
        <v>89</v>
      </c>
      <c r="CK19" s="94">
        <v>704</v>
      </c>
      <c r="CZ19" s="93">
        <v>15</v>
      </c>
      <c r="DA19" s="94">
        <v>601</v>
      </c>
      <c r="DB19" s="94">
        <v>64</v>
      </c>
      <c r="DC19" s="95">
        <v>37.299999999999997</v>
      </c>
      <c r="DD19" s="96">
        <v>1.0629999999999999</v>
      </c>
      <c r="DE19" s="94">
        <v>80</v>
      </c>
      <c r="DF19" s="94">
        <v>639</v>
      </c>
    </row>
    <row r="20" spans="1:110" x14ac:dyDescent="0.25">
      <c r="AH20" s="132" t="s">
        <v>89</v>
      </c>
      <c r="AI20" s="132"/>
      <c r="AJ20" s="132"/>
      <c r="AK20" s="132"/>
      <c r="AL20" s="132"/>
      <c r="AM20" s="132"/>
      <c r="AN20" s="132"/>
      <c r="AO20" s="132"/>
      <c r="BK20" s="59">
        <v>16</v>
      </c>
      <c r="BL20" s="60">
        <v>711</v>
      </c>
      <c r="BM20" s="60">
        <v>72</v>
      </c>
      <c r="BN20" s="87">
        <v>41.8</v>
      </c>
      <c r="BO20" s="88">
        <v>1.0720000000000001</v>
      </c>
      <c r="BP20" s="60">
        <v>91</v>
      </c>
      <c r="BQ20" s="60">
        <v>763</v>
      </c>
      <c r="CE20" s="59">
        <v>16</v>
      </c>
      <c r="CF20" s="60">
        <v>754</v>
      </c>
      <c r="CG20" s="60">
        <v>77</v>
      </c>
      <c r="CH20" s="87">
        <v>44.5</v>
      </c>
      <c r="CI20" s="88">
        <v>1.06</v>
      </c>
      <c r="CJ20" s="60">
        <v>96</v>
      </c>
      <c r="CK20" s="60">
        <v>800</v>
      </c>
      <c r="CZ20" s="59">
        <v>16</v>
      </c>
      <c r="DA20" s="60">
        <v>667</v>
      </c>
      <c r="DB20" s="60">
        <v>66</v>
      </c>
      <c r="DC20" s="87">
        <v>39.1</v>
      </c>
      <c r="DD20" s="88">
        <v>1.0860000000000001</v>
      </c>
      <c r="DE20" s="60">
        <v>86</v>
      </c>
      <c r="DF20" s="60">
        <v>725</v>
      </c>
    </row>
    <row r="21" spans="1:110" ht="22.5" x14ac:dyDescent="0.25">
      <c r="AH21" s="125" t="s">
        <v>52</v>
      </c>
      <c r="AI21" s="126"/>
      <c r="AJ21" s="48" t="s">
        <v>53</v>
      </c>
      <c r="AK21" s="48" t="s">
        <v>54</v>
      </c>
      <c r="AL21" s="48" t="s">
        <v>55</v>
      </c>
      <c r="AM21" s="48" t="s">
        <v>56</v>
      </c>
      <c r="AN21" s="48" t="s">
        <v>57</v>
      </c>
      <c r="AO21" s="49" t="s">
        <v>58</v>
      </c>
      <c r="BK21" s="67">
        <v>17</v>
      </c>
      <c r="BL21" s="68">
        <v>786</v>
      </c>
      <c r="BM21" s="68">
        <v>75</v>
      </c>
      <c r="BN21" s="85">
        <v>43.8</v>
      </c>
      <c r="BO21" s="86">
        <v>1.0940000000000001</v>
      </c>
      <c r="BP21" s="68">
        <v>98</v>
      </c>
      <c r="BQ21" s="68">
        <v>861</v>
      </c>
      <c r="CE21" s="67">
        <v>17</v>
      </c>
      <c r="CF21" s="68">
        <v>834</v>
      </c>
      <c r="CG21" s="68">
        <v>80</v>
      </c>
      <c r="CH21" s="85">
        <v>46.6</v>
      </c>
      <c r="CI21" s="86">
        <v>1.081</v>
      </c>
      <c r="CJ21" s="68">
        <v>103</v>
      </c>
      <c r="CK21" s="68">
        <v>903</v>
      </c>
      <c r="CZ21" s="67">
        <v>17</v>
      </c>
      <c r="DA21" s="68">
        <v>737</v>
      </c>
      <c r="DB21" s="68">
        <v>70</v>
      </c>
      <c r="DC21" s="85">
        <v>40.9</v>
      </c>
      <c r="DD21" s="86">
        <v>1.109</v>
      </c>
      <c r="DE21" s="68">
        <v>93</v>
      </c>
      <c r="DF21" s="68">
        <v>818</v>
      </c>
    </row>
    <row r="22" spans="1:110" x14ac:dyDescent="0.25">
      <c r="AH22" s="58" t="s">
        <v>85</v>
      </c>
      <c r="AI22" s="57" t="s">
        <v>86</v>
      </c>
      <c r="AJ22" s="48" t="s">
        <v>87</v>
      </c>
      <c r="AK22" s="48" t="s">
        <v>88</v>
      </c>
      <c r="AL22" s="48" t="s">
        <v>87</v>
      </c>
      <c r="AM22" s="48" t="s">
        <v>87</v>
      </c>
      <c r="AN22" s="48" t="s">
        <v>87</v>
      </c>
      <c r="AO22" s="49" t="s">
        <v>87</v>
      </c>
      <c r="BK22" s="59">
        <v>18</v>
      </c>
      <c r="BL22" s="60">
        <v>864</v>
      </c>
      <c r="BM22" s="60">
        <v>78</v>
      </c>
      <c r="BN22" s="87">
        <v>45.7</v>
      </c>
      <c r="BO22" s="88">
        <v>1.1160000000000001</v>
      </c>
      <c r="BP22" s="60">
        <v>105</v>
      </c>
      <c r="BQ22" s="60">
        <v>966</v>
      </c>
      <c r="CE22" s="59">
        <v>18</v>
      </c>
      <c r="CF22" s="60">
        <v>918</v>
      </c>
      <c r="CG22" s="60">
        <v>84</v>
      </c>
      <c r="CH22" s="87">
        <v>48.7</v>
      </c>
      <c r="CI22" s="88">
        <v>1.1020000000000001</v>
      </c>
      <c r="CJ22" s="60">
        <v>110</v>
      </c>
      <c r="CK22" s="60">
        <v>1013</v>
      </c>
      <c r="CZ22" s="59">
        <v>18</v>
      </c>
      <c r="DA22" s="60">
        <v>810</v>
      </c>
      <c r="DB22" s="60">
        <v>73</v>
      </c>
      <c r="DC22" s="87">
        <v>42.7</v>
      </c>
      <c r="DD22" s="88">
        <v>1.1319999999999999</v>
      </c>
      <c r="DE22" s="60">
        <v>99</v>
      </c>
      <c r="DF22" s="60">
        <v>917</v>
      </c>
    </row>
    <row r="23" spans="1:110" x14ac:dyDescent="0.25">
      <c r="AH23" s="62">
        <v>1590</v>
      </c>
      <c r="AI23" s="63">
        <v>3.5</v>
      </c>
      <c r="AJ23" s="64">
        <v>72.900000000000006</v>
      </c>
      <c r="AK23" s="65">
        <v>22.85</v>
      </c>
      <c r="AL23" s="65">
        <v>22.03</v>
      </c>
      <c r="AM23" s="65">
        <v>7.4</v>
      </c>
      <c r="AN23" s="65">
        <v>12.65</v>
      </c>
      <c r="AO23" s="66">
        <v>9.3800000000000008</v>
      </c>
      <c r="BK23" s="67">
        <v>19</v>
      </c>
      <c r="BL23" s="68">
        <v>945</v>
      </c>
      <c r="BM23" s="68">
        <v>81</v>
      </c>
      <c r="BN23" s="85">
        <v>47.5</v>
      </c>
      <c r="BO23" s="86">
        <v>1.1379999999999999</v>
      </c>
      <c r="BP23" s="68">
        <v>111</v>
      </c>
      <c r="BQ23" s="68">
        <v>1077</v>
      </c>
      <c r="CE23" s="67">
        <v>19</v>
      </c>
      <c r="CF23" s="68">
        <v>1005</v>
      </c>
      <c r="CG23" s="68">
        <v>87</v>
      </c>
      <c r="CH23" s="85">
        <v>50.7</v>
      </c>
      <c r="CI23" s="86">
        <v>1.1240000000000001</v>
      </c>
      <c r="CJ23" s="68">
        <v>117</v>
      </c>
      <c r="CK23" s="68">
        <v>1130</v>
      </c>
      <c r="CZ23" s="67">
        <v>19</v>
      </c>
      <c r="DA23" s="68">
        <v>885</v>
      </c>
      <c r="DB23" s="68">
        <v>75</v>
      </c>
      <c r="DC23" s="85">
        <v>44.4</v>
      </c>
      <c r="DD23" s="86">
        <v>1.155</v>
      </c>
      <c r="DE23" s="68">
        <v>106</v>
      </c>
      <c r="DF23" s="68">
        <v>1023</v>
      </c>
    </row>
    <row r="24" spans="1:110" x14ac:dyDescent="0.25">
      <c r="AH24" s="71">
        <v>1700</v>
      </c>
      <c r="AI24" s="72">
        <v>3.75</v>
      </c>
      <c r="AJ24" s="73">
        <v>73.2</v>
      </c>
      <c r="AK24" s="74">
        <v>23.15</v>
      </c>
      <c r="AL24" s="74">
        <v>22.18</v>
      </c>
      <c r="AM24" s="74">
        <v>7.42</v>
      </c>
      <c r="AN24" s="74">
        <v>12.76</v>
      </c>
      <c r="AO24" s="75">
        <v>9.42</v>
      </c>
      <c r="BK24" s="59">
        <v>20</v>
      </c>
      <c r="BL24" s="60">
        <v>1029</v>
      </c>
      <c r="BM24" s="60">
        <v>84</v>
      </c>
      <c r="BN24" s="87">
        <v>49.4</v>
      </c>
      <c r="BO24" s="88">
        <v>1.1599999999999999</v>
      </c>
      <c r="BP24" s="60">
        <v>118</v>
      </c>
      <c r="BQ24" s="60">
        <v>1195</v>
      </c>
      <c r="CE24" s="59">
        <v>20</v>
      </c>
      <c r="CF24" s="60">
        <v>1095</v>
      </c>
      <c r="CG24" s="60">
        <v>90</v>
      </c>
      <c r="CH24" s="87">
        <v>52.7</v>
      </c>
      <c r="CI24" s="88">
        <v>1.145</v>
      </c>
      <c r="CJ24" s="60">
        <v>124</v>
      </c>
      <c r="CK24" s="60">
        <v>1254</v>
      </c>
      <c r="CZ24" s="59">
        <v>20</v>
      </c>
      <c r="DA24" s="60">
        <v>963</v>
      </c>
      <c r="DB24" s="60">
        <v>78</v>
      </c>
      <c r="DC24" s="87">
        <v>46.1</v>
      </c>
      <c r="DD24" s="88">
        <v>1.1779999999999999</v>
      </c>
      <c r="DE24" s="60">
        <v>112</v>
      </c>
      <c r="DF24" s="60">
        <v>1135</v>
      </c>
    </row>
    <row r="25" spans="1:110" x14ac:dyDescent="0.25">
      <c r="AH25" s="62">
        <v>1810</v>
      </c>
      <c r="AI25" s="63">
        <v>4</v>
      </c>
      <c r="AJ25" s="64">
        <v>73.45</v>
      </c>
      <c r="AK25" s="65">
        <v>23.45</v>
      </c>
      <c r="AL25" s="65">
        <v>22.32</v>
      </c>
      <c r="AM25" s="65">
        <v>7.44</v>
      </c>
      <c r="AN25" s="65">
        <v>12.87</v>
      </c>
      <c r="AO25" s="66">
        <v>9.4499999999999993</v>
      </c>
      <c r="BK25" s="76">
        <v>21</v>
      </c>
      <c r="BL25" s="77">
        <v>1116</v>
      </c>
      <c r="BM25" s="77">
        <v>87</v>
      </c>
      <c r="BN25" s="78">
        <v>51.1</v>
      </c>
      <c r="BO25" s="79">
        <v>1.1819999999999999</v>
      </c>
      <c r="BP25" s="77">
        <v>125</v>
      </c>
      <c r="BQ25" s="77">
        <v>1320</v>
      </c>
      <c r="CE25" s="76">
        <v>21</v>
      </c>
      <c r="CF25" s="77">
        <v>1188</v>
      </c>
      <c r="CG25" s="77">
        <v>93</v>
      </c>
      <c r="CH25" s="78">
        <v>54.6</v>
      </c>
      <c r="CI25" s="79">
        <v>1.1659999999999999</v>
      </c>
      <c r="CJ25" s="77">
        <v>131</v>
      </c>
      <c r="CK25" s="77">
        <v>1385</v>
      </c>
      <c r="CZ25" s="76">
        <v>21</v>
      </c>
      <c r="DA25" s="77">
        <v>1043</v>
      </c>
      <c r="DB25" s="77">
        <v>80</v>
      </c>
      <c r="DC25" s="78">
        <v>47.7</v>
      </c>
      <c r="DD25" s="79">
        <v>1.2</v>
      </c>
      <c r="DE25" s="77">
        <v>118</v>
      </c>
      <c r="DF25" s="77">
        <v>1253</v>
      </c>
    </row>
    <row r="26" spans="1:110" x14ac:dyDescent="0.25">
      <c r="AH26" s="71">
        <v>2040</v>
      </c>
      <c r="AI26" s="72">
        <v>4.5</v>
      </c>
      <c r="AJ26" s="73">
        <v>74</v>
      </c>
      <c r="AK26" s="74">
        <v>24</v>
      </c>
      <c r="AL26" s="74">
        <v>22.61</v>
      </c>
      <c r="AM26" s="74">
        <v>7.49</v>
      </c>
      <c r="AN26" s="74">
        <v>13.1</v>
      </c>
      <c r="AO26" s="75">
        <v>9.51</v>
      </c>
      <c r="BK26" s="81">
        <v>22</v>
      </c>
      <c r="BL26" s="82">
        <v>1205</v>
      </c>
      <c r="BM26" s="82">
        <v>89</v>
      </c>
      <c r="BN26" s="83">
        <v>52.9</v>
      </c>
      <c r="BO26" s="84">
        <v>1.2030000000000001</v>
      </c>
      <c r="BP26" s="82">
        <v>131</v>
      </c>
      <c r="BQ26" s="82">
        <v>1451</v>
      </c>
      <c r="CE26" s="81">
        <v>22</v>
      </c>
      <c r="CF26" s="82">
        <v>1284</v>
      </c>
      <c r="CG26" s="82">
        <v>96</v>
      </c>
      <c r="CH26" s="83">
        <v>56.5</v>
      </c>
      <c r="CI26" s="84">
        <v>1.1859999999999999</v>
      </c>
      <c r="CJ26" s="82">
        <v>138</v>
      </c>
      <c r="CK26" s="82">
        <v>1523</v>
      </c>
      <c r="CZ26" s="81">
        <v>22</v>
      </c>
      <c r="DA26" s="82">
        <v>1126</v>
      </c>
      <c r="DB26" s="82">
        <v>83</v>
      </c>
      <c r="DC26" s="83">
        <v>49.3</v>
      </c>
      <c r="DD26" s="84">
        <v>1.222</v>
      </c>
      <c r="DE26" s="82">
        <v>124</v>
      </c>
      <c r="DF26" s="82">
        <v>1377</v>
      </c>
    </row>
    <row r="27" spans="1:110" x14ac:dyDescent="0.25">
      <c r="AH27" s="62">
        <v>2270</v>
      </c>
      <c r="AI27" s="63">
        <v>5</v>
      </c>
      <c r="AJ27" s="64">
        <v>74.45</v>
      </c>
      <c r="AK27" s="65">
        <v>24.5</v>
      </c>
      <c r="AL27" s="65">
        <v>22.87</v>
      </c>
      <c r="AM27" s="65">
        <v>7.54</v>
      </c>
      <c r="AN27" s="65">
        <v>13.3</v>
      </c>
      <c r="AO27" s="66">
        <v>9.57</v>
      </c>
      <c r="BK27" s="67">
        <v>23</v>
      </c>
      <c r="BL27" s="68">
        <v>1296</v>
      </c>
      <c r="BM27" s="68">
        <v>91</v>
      </c>
      <c r="BN27" s="85">
        <v>54.5</v>
      </c>
      <c r="BO27" s="86">
        <v>1.224</v>
      </c>
      <c r="BP27" s="68">
        <v>137</v>
      </c>
      <c r="BQ27" s="68">
        <v>1588</v>
      </c>
      <c r="CE27" s="67">
        <v>23</v>
      </c>
      <c r="CF27" s="68">
        <v>1382</v>
      </c>
      <c r="CG27" s="68">
        <v>98</v>
      </c>
      <c r="CH27" s="85">
        <v>58.3</v>
      </c>
      <c r="CI27" s="86">
        <v>1.206</v>
      </c>
      <c r="CJ27" s="68">
        <v>144</v>
      </c>
      <c r="CK27" s="68">
        <v>1667</v>
      </c>
      <c r="CZ27" s="67">
        <v>23</v>
      </c>
      <c r="DA27" s="68">
        <v>1210</v>
      </c>
      <c r="DB27" s="68">
        <v>84</v>
      </c>
      <c r="DC27" s="85">
        <v>50.8</v>
      </c>
      <c r="DD27" s="86">
        <v>1.244</v>
      </c>
      <c r="DE27" s="68">
        <v>130</v>
      </c>
      <c r="DF27" s="68">
        <v>1507</v>
      </c>
    </row>
    <row r="28" spans="1:110" x14ac:dyDescent="0.25">
      <c r="AH28" s="71">
        <v>2500</v>
      </c>
      <c r="AI28" s="72">
        <v>5.5</v>
      </c>
      <c r="AJ28" s="73">
        <v>74.900000000000006</v>
      </c>
      <c r="AK28" s="74">
        <v>25</v>
      </c>
      <c r="AL28" s="74">
        <v>23.1</v>
      </c>
      <c r="AM28" s="74">
        <v>7.58</v>
      </c>
      <c r="AN28" s="74">
        <v>13.48</v>
      </c>
      <c r="AO28" s="75">
        <v>9.6199999999999992</v>
      </c>
      <c r="BK28" s="59">
        <v>24</v>
      </c>
      <c r="BL28" s="60">
        <v>1390</v>
      </c>
      <c r="BM28" s="60">
        <v>94</v>
      </c>
      <c r="BN28" s="87">
        <v>56.2</v>
      </c>
      <c r="BO28" s="88">
        <v>1.2450000000000001</v>
      </c>
      <c r="BP28" s="60">
        <v>143</v>
      </c>
      <c r="BQ28" s="60">
        <v>1731</v>
      </c>
      <c r="CE28" s="59">
        <v>24</v>
      </c>
      <c r="CF28" s="60">
        <v>1482</v>
      </c>
      <c r="CG28" s="60">
        <v>100</v>
      </c>
      <c r="CH28" s="87">
        <v>60</v>
      </c>
      <c r="CI28" s="88">
        <v>1.226</v>
      </c>
      <c r="CJ28" s="60">
        <v>151</v>
      </c>
      <c r="CK28" s="60">
        <v>1818</v>
      </c>
      <c r="CZ28" s="59">
        <v>24</v>
      </c>
      <c r="DA28" s="60">
        <v>1297</v>
      </c>
      <c r="DB28" s="60">
        <v>87</v>
      </c>
      <c r="DC28" s="87">
        <v>52.3</v>
      </c>
      <c r="DD28" s="88">
        <v>1.2649999999999999</v>
      </c>
      <c r="DE28" s="60">
        <v>136</v>
      </c>
      <c r="DF28" s="60">
        <v>1643</v>
      </c>
    </row>
    <row r="29" spans="1:110" x14ac:dyDescent="0.25">
      <c r="AH29" s="62">
        <v>2730</v>
      </c>
      <c r="AI29" s="63">
        <v>6</v>
      </c>
      <c r="AJ29" s="64">
        <v>75.3</v>
      </c>
      <c r="AK29" s="65">
        <v>25.4</v>
      </c>
      <c r="AL29" s="65">
        <v>23.31</v>
      </c>
      <c r="AM29" s="65">
        <v>7.62</v>
      </c>
      <c r="AN29" s="65">
        <v>13.65</v>
      </c>
      <c r="AO29" s="66">
        <v>9.66</v>
      </c>
      <c r="BK29" s="67">
        <v>25</v>
      </c>
      <c r="BL29" s="68">
        <v>1486</v>
      </c>
      <c r="BM29" s="68">
        <v>96</v>
      </c>
      <c r="BN29" s="85">
        <v>57.8</v>
      </c>
      <c r="BO29" s="86">
        <v>1.2649999999999999</v>
      </c>
      <c r="BP29" s="68">
        <v>149</v>
      </c>
      <c r="BQ29" s="68">
        <v>1880</v>
      </c>
      <c r="CE29" s="67">
        <v>25</v>
      </c>
      <c r="CF29" s="68">
        <v>1585</v>
      </c>
      <c r="CG29" s="68">
        <v>103</v>
      </c>
      <c r="CH29" s="85">
        <v>61.7</v>
      </c>
      <c r="CI29" s="86">
        <v>1.246</v>
      </c>
      <c r="CJ29" s="68">
        <v>157</v>
      </c>
      <c r="CK29" s="68">
        <v>1975</v>
      </c>
      <c r="CZ29" s="67">
        <v>25</v>
      </c>
      <c r="DA29" s="68">
        <v>1386</v>
      </c>
      <c r="DB29" s="68">
        <v>89</v>
      </c>
      <c r="DC29" s="85">
        <v>53.8</v>
      </c>
      <c r="DD29" s="86">
        <v>1.286</v>
      </c>
      <c r="DE29" s="68">
        <v>141</v>
      </c>
      <c r="DF29" s="68">
        <v>1784</v>
      </c>
    </row>
    <row r="30" spans="1:110" x14ac:dyDescent="0.25">
      <c r="AH30" s="71">
        <v>2950</v>
      </c>
      <c r="AI30" s="72">
        <v>6.5</v>
      </c>
      <c r="AJ30" s="73">
        <v>75.650000000000006</v>
      </c>
      <c r="AK30" s="74">
        <v>25.8</v>
      </c>
      <c r="AL30" s="74">
        <v>23.5</v>
      </c>
      <c r="AM30" s="74">
        <v>7.65</v>
      </c>
      <c r="AN30" s="74">
        <v>13.8</v>
      </c>
      <c r="AO30" s="75">
        <v>9.6999999999999993</v>
      </c>
      <c r="BK30" s="59">
        <v>26</v>
      </c>
      <c r="BL30" s="60">
        <v>1583</v>
      </c>
      <c r="BM30" s="60">
        <v>97</v>
      </c>
      <c r="BN30" s="87">
        <v>59.3</v>
      </c>
      <c r="BO30" s="88">
        <v>1.284</v>
      </c>
      <c r="BP30" s="60">
        <v>154</v>
      </c>
      <c r="BQ30" s="60">
        <v>2034</v>
      </c>
      <c r="CE30" s="59">
        <v>26</v>
      </c>
      <c r="CF30" s="60">
        <v>1690</v>
      </c>
      <c r="CG30" s="60">
        <v>105</v>
      </c>
      <c r="CH30" s="87">
        <v>63.4</v>
      </c>
      <c r="CI30" s="88">
        <v>1.2649999999999999</v>
      </c>
      <c r="CJ30" s="60">
        <v>162</v>
      </c>
      <c r="CK30" s="60">
        <v>2137</v>
      </c>
      <c r="CZ30" s="59">
        <v>26</v>
      </c>
      <c r="DA30" s="60">
        <v>1477</v>
      </c>
      <c r="DB30" s="60">
        <v>91</v>
      </c>
      <c r="DC30" s="87">
        <v>55.2</v>
      </c>
      <c r="DD30" s="88">
        <v>1.306</v>
      </c>
      <c r="DE30" s="60">
        <v>146</v>
      </c>
      <c r="DF30" s="60">
        <v>1930</v>
      </c>
    </row>
    <row r="31" spans="1:110" x14ac:dyDescent="0.25">
      <c r="AH31" s="62">
        <v>3180</v>
      </c>
      <c r="AI31" s="63">
        <v>7</v>
      </c>
      <c r="AJ31" s="64">
        <v>76</v>
      </c>
      <c r="AK31" s="65">
        <v>26.15</v>
      </c>
      <c r="AL31" s="65">
        <v>23.69</v>
      </c>
      <c r="AM31" s="65">
        <v>7.68</v>
      </c>
      <c r="AN31" s="65">
        <v>13.95</v>
      </c>
      <c r="AO31" s="66">
        <v>9.74</v>
      </c>
      <c r="BK31" s="67">
        <v>27</v>
      </c>
      <c r="BL31" s="68">
        <v>1682</v>
      </c>
      <c r="BM31" s="68">
        <v>99</v>
      </c>
      <c r="BN31" s="85">
        <v>60.7</v>
      </c>
      <c r="BO31" s="86">
        <v>1.3029999999999999</v>
      </c>
      <c r="BP31" s="68">
        <v>160</v>
      </c>
      <c r="BQ31" s="68">
        <v>2194</v>
      </c>
      <c r="CE31" s="67">
        <v>27</v>
      </c>
      <c r="CF31" s="68">
        <v>1796</v>
      </c>
      <c r="CG31" s="68">
        <v>106</v>
      </c>
      <c r="CH31" s="85">
        <v>65</v>
      </c>
      <c r="CI31" s="86">
        <v>1.2829999999999999</v>
      </c>
      <c r="CJ31" s="68">
        <v>168</v>
      </c>
      <c r="CK31" s="68">
        <v>2305</v>
      </c>
      <c r="CZ31" s="67">
        <v>27</v>
      </c>
      <c r="DA31" s="68">
        <v>1569</v>
      </c>
      <c r="DB31" s="68">
        <v>92</v>
      </c>
      <c r="DC31" s="85">
        <v>56.6</v>
      </c>
      <c r="DD31" s="86">
        <v>1.3260000000000001</v>
      </c>
      <c r="DE31" s="68">
        <v>151</v>
      </c>
      <c r="DF31" s="68">
        <v>2081</v>
      </c>
    </row>
    <row r="32" spans="1:110" x14ac:dyDescent="0.25">
      <c r="AH32" s="71">
        <v>3400</v>
      </c>
      <c r="AI32" s="72">
        <v>7.5</v>
      </c>
      <c r="AJ32" s="73">
        <v>76.349999999999994</v>
      </c>
      <c r="AK32" s="74">
        <v>26.45</v>
      </c>
      <c r="AL32" s="74">
        <v>23.86</v>
      </c>
      <c r="AM32" s="74">
        <v>7.71</v>
      </c>
      <c r="AN32" s="74">
        <v>14.08</v>
      </c>
      <c r="AO32" s="75">
        <v>9.7799999999999994</v>
      </c>
      <c r="BK32" s="89">
        <v>28</v>
      </c>
      <c r="BL32" s="90">
        <v>1783</v>
      </c>
      <c r="BM32" s="90">
        <v>101</v>
      </c>
      <c r="BN32" s="91">
        <v>62.2</v>
      </c>
      <c r="BO32" s="92">
        <v>1.3220000000000001</v>
      </c>
      <c r="BP32" s="90">
        <v>165</v>
      </c>
      <c r="BQ32" s="90">
        <v>2359</v>
      </c>
      <c r="CE32" s="89">
        <v>28</v>
      </c>
      <c r="CF32" s="90">
        <v>1904</v>
      </c>
      <c r="CG32" s="90">
        <v>108</v>
      </c>
      <c r="CH32" s="91">
        <v>66.5</v>
      </c>
      <c r="CI32" s="92">
        <v>1.3009999999999999</v>
      </c>
      <c r="CJ32" s="90">
        <v>173</v>
      </c>
      <c r="CK32" s="90">
        <v>2478</v>
      </c>
      <c r="CZ32" s="89">
        <v>28</v>
      </c>
      <c r="DA32" s="90">
        <v>1662</v>
      </c>
      <c r="DB32" s="90">
        <v>93</v>
      </c>
      <c r="DC32" s="91">
        <v>57.9</v>
      </c>
      <c r="DD32" s="92">
        <v>1.3460000000000001</v>
      </c>
      <c r="DE32" s="90">
        <v>156</v>
      </c>
      <c r="DF32" s="90">
        <v>2237</v>
      </c>
    </row>
    <row r="33" spans="34:110" x14ac:dyDescent="0.25">
      <c r="AH33" s="62">
        <v>3630</v>
      </c>
      <c r="AI33" s="63">
        <v>8</v>
      </c>
      <c r="AJ33" s="64">
        <v>76.7</v>
      </c>
      <c r="AK33" s="65">
        <v>26.8</v>
      </c>
      <c r="AL33" s="65">
        <v>24.02</v>
      </c>
      <c r="AM33" s="65">
        <v>7.74</v>
      </c>
      <c r="AN33" s="65">
        <v>14.2</v>
      </c>
      <c r="AO33" s="66">
        <v>9.82</v>
      </c>
      <c r="BK33" s="93">
        <v>29</v>
      </c>
      <c r="BL33" s="94">
        <v>1886</v>
      </c>
      <c r="BM33" s="94">
        <v>103</v>
      </c>
      <c r="BN33" s="95">
        <v>63.6</v>
      </c>
      <c r="BO33" s="96">
        <v>1.34</v>
      </c>
      <c r="BP33" s="94">
        <v>169</v>
      </c>
      <c r="BQ33" s="94">
        <v>2528</v>
      </c>
      <c r="CE33" s="93">
        <v>29</v>
      </c>
      <c r="CF33" s="94">
        <v>2014</v>
      </c>
      <c r="CG33" s="94">
        <v>110</v>
      </c>
      <c r="CH33" s="95">
        <v>68</v>
      </c>
      <c r="CI33" s="96">
        <v>1.319</v>
      </c>
      <c r="CJ33" s="94">
        <v>178</v>
      </c>
      <c r="CK33" s="94">
        <v>2656</v>
      </c>
      <c r="CZ33" s="93">
        <v>29</v>
      </c>
      <c r="DA33" s="94">
        <v>1757</v>
      </c>
      <c r="DB33" s="94">
        <v>95</v>
      </c>
      <c r="DC33" s="95">
        <v>59.1</v>
      </c>
      <c r="DD33" s="96">
        <v>1.3640000000000001</v>
      </c>
      <c r="DE33" s="94">
        <v>161</v>
      </c>
      <c r="DF33" s="94">
        <v>2398</v>
      </c>
    </row>
    <row r="34" spans="34:110" x14ac:dyDescent="0.25">
      <c r="AH34" s="71">
        <v>3860</v>
      </c>
      <c r="AI34" s="72">
        <v>8.5</v>
      </c>
      <c r="AJ34" s="73">
        <v>77</v>
      </c>
      <c r="AK34" s="74">
        <v>27.1</v>
      </c>
      <c r="AL34" s="74">
        <v>24.17</v>
      </c>
      <c r="AM34" s="74">
        <v>7.76</v>
      </c>
      <c r="AN34" s="74">
        <v>14.32</v>
      </c>
      <c r="AO34" s="75">
        <v>9.85</v>
      </c>
      <c r="BK34" s="59">
        <v>30</v>
      </c>
      <c r="BL34" s="60">
        <v>1989</v>
      </c>
      <c r="BM34" s="60">
        <v>103</v>
      </c>
      <c r="BN34" s="87">
        <v>64.900000000000006</v>
      </c>
      <c r="BO34" s="88">
        <v>1.3580000000000001</v>
      </c>
      <c r="BP34" s="60">
        <v>174</v>
      </c>
      <c r="BQ34" s="60">
        <v>2702</v>
      </c>
      <c r="CE34" s="59">
        <v>30</v>
      </c>
      <c r="CF34" s="60">
        <v>2125</v>
      </c>
      <c r="CG34" s="60">
        <v>111</v>
      </c>
      <c r="CH34" s="87">
        <v>69.400000000000006</v>
      </c>
      <c r="CI34" s="88">
        <v>1.3360000000000001</v>
      </c>
      <c r="CJ34" s="60">
        <v>183</v>
      </c>
      <c r="CK34" s="60">
        <v>2839</v>
      </c>
      <c r="CZ34" s="59">
        <v>30</v>
      </c>
      <c r="DA34" s="60">
        <v>1853</v>
      </c>
      <c r="DB34" s="60">
        <v>96</v>
      </c>
      <c r="DC34" s="87">
        <v>60.4</v>
      </c>
      <c r="DD34" s="88">
        <v>1.383</v>
      </c>
      <c r="DE34" s="60">
        <v>165</v>
      </c>
      <c r="DF34" s="60">
        <v>2563</v>
      </c>
    </row>
    <row r="35" spans="34:110" x14ac:dyDescent="0.25">
      <c r="AH35" s="62">
        <v>4090</v>
      </c>
      <c r="AI35" s="63">
        <v>9</v>
      </c>
      <c r="AJ35" s="64">
        <v>77.3</v>
      </c>
      <c r="AK35" s="65">
        <v>27.35</v>
      </c>
      <c r="AL35" s="65">
        <v>24.3</v>
      </c>
      <c r="AM35" s="65">
        <v>7.78</v>
      </c>
      <c r="AN35" s="65">
        <v>14.42</v>
      </c>
      <c r="AO35" s="66">
        <v>9.8800000000000008</v>
      </c>
      <c r="BK35" s="67">
        <v>31</v>
      </c>
      <c r="BL35" s="68">
        <v>2094</v>
      </c>
      <c r="BM35" s="68">
        <v>105</v>
      </c>
      <c r="BN35" s="85">
        <v>66.2</v>
      </c>
      <c r="BO35" s="86">
        <v>1.375</v>
      </c>
      <c r="BP35" s="68">
        <v>178</v>
      </c>
      <c r="BQ35" s="68">
        <v>2880</v>
      </c>
      <c r="CE35" s="67">
        <v>31</v>
      </c>
      <c r="CF35" s="68">
        <v>2237</v>
      </c>
      <c r="CG35" s="68">
        <v>112</v>
      </c>
      <c r="CH35" s="85">
        <v>70.8</v>
      </c>
      <c r="CI35" s="86">
        <v>1.353</v>
      </c>
      <c r="CJ35" s="68">
        <v>188</v>
      </c>
      <c r="CK35" s="68">
        <v>3027</v>
      </c>
      <c r="CZ35" s="67">
        <v>31</v>
      </c>
      <c r="DA35" s="68">
        <v>1951</v>
      </c>
      <c r="DB35" s="68">
        <v>98</v>
      </c>
      <c r="DC35" s="85">
        <v>61.6</v>
      </c>
      <c r="DD35" s="86">
        <v>1.4</v>
      </c>
      <c r="DE35" s="68">
        <v>169</v>
      </c>
      <c r="DF35" s="68">
        <v>2732</v>
      </c>
    </row>
    <row r="36" spans="34:110" x14ac:dyDescent="0.25">
      <c r="AH36" s="71">
        <v>4320</v>
      </c>
      <c r="AI36" s="72">
        <v>9.5</v>
      </c>
      <c r="AJ36" s="73">
        <v>77.599999999999994</v>
      </c>
      <c r="AK36" s="74">
        <v>27.6</v>
      </c>
      <c r="AL36" s="74">
        <v>24.43</v>
      </c>
      <c r="AM36" s="74">
        <v>7.8</v>
      </c>
      <c r="AN36" s="74">
        <v>14.52</v>
      </c>
      <c r="AO36" s="75">
        <v>9.91</v>
      </c>
      <c r="BK36" s="59">
        <v>32</v>
      </c>
      <c r="BL36" s="60">
        <v>2200</v>
      </c>
      <c r="BM36" s="60">
        <v>106</v>
      </c>
      <c r="BN36" s="87">
        <v>67.400000000000006</v>
      </c>
      <c r="BO36" s="88">
        <v>1.3919999999999999</v>
      </c>
      <c r="BP36" s="60">
        <v>183</v>
      </c>
      <c r="BQ36" s="60">
        <v>3063</v>
      </c>
      <c r="CE36" s="59">
        <v>32</v>
      </c>
      <c r="CF36" s="60">
        <v>2350</v>
      </c>
      <c r="CG36" s="60">
        <v>113</v>
      </c>
      <c r="CH36" s="87">
        <v>72.099999999999994</v>
      </c>
      <c r="CI36" s="88">
        <v>1.369</v>
      </c>
      <c r="CJ36" s="60">
        <v>192</v>
      </c>
      <c r="CK36" s="60">
        <v>3219</v>
      </c>
      <c r="CZ36" s="59">
        <v>32</v>
      </c>
      <c r="DA36" s="60">
        <v>2049</v>
      </c>
      <c r="DB36" s="60">
        <v>98</v>
      </c>
      <c r="DC36" s="87">
        <v>62.7</v>
      </c>
      <c r="DD36" s="88">
        <v>1.4179999999999999</v>
      </c>
      <c r="DE36" s="60">
        <v>173</v>
      </c>
      <c r="DF36" s="60">
        <v>2905</v>
      </c>
    </row>
    <row r="37" spans="34:110" x14ac:dyDescent="0.25">
      <c r="AH37" s="127" t="s">
        <v>90</v>
      </c>
      <c r="AI37" s="127"/>
      <c r="AJ37" s="127"/>
      <c r="AK37" s="127"/>
      <c r="AL37" s="127"/>
      <c r="AM37" s="127"/>
      <c r="AN37" s="127"/>
      <c r="AO37" s="127"/>
      <c r="AP37" s="127"/>
      <c r="BK37" s="67">
        <v>33</v>
      </c>
      <c r="BL37" s="68">
        <v>2306</v>
      </c>
      <c r="BM37" s="68">
        <v>106</v>
      </c>
      <c r="BN37" s="85">
        <v>68.599999999999994</v>
      </c>
      <c r="BO37" s="86">
        <v>1.409</v>
      </c>
      <c r="BP37" s="68">
        <v>187</v>
      </c>
      <c r="BQ37" s="68">
        <v>3250</v>
      </c>
      <c r="CE37" s="67">
        <v>33</v>
      </c>
      <c r="CF37" s="68">
        <v>2464</v>
      </c>
      <c r="CG37" s="68">
        <v>114</v>
      </c>
      <c r="CH37" s="85">
        <v>73.400000000000006</v>
      </c>
      <c r="CI37" s="86">
        <v>1.3859999999999999</v>
      </c>
      <c r="CJ37" s="68">
        <v>196</v>
      </c>
      <c r="CK37" s="68">
        <v>3415</v>
      </c>
      <c r="CZ37" s="67">
        <v>33</v>
      </c>
      <c r="DA37" s="68">
        <v>2148</v>
      </c>
      <c r="DB37" s="68">
        <v>99</v>
      </c>
      <c r="DC37" s="85">
        <v>63.8</v>
      </c>
      <c r="DD37" s="86">
        <v>1.4350000000000001</v>
      </c>
      <c r="DE37" s="68">
        <v>177</v>
      </c>
      <c r="DF37" s="68">
        <v>3082</v>
      </c>
    </row>
    <row r="38" spans="34:110" x14ac:dyDescent="0.25">
      <c r="BK38" s="59">
        <v>34</v>
      </c>
      <c r="BL38" s="60">
        <v>2413</v>
      </c>
      <c r="BM38" s="60">
        <v>107</v>
      </c>
      <c r="BN38" s="87">
        <v>69.7</v>
      </c>
      <c r="BO38" s="88">
        <v>1.425</v>
      </c>
      <c r="BP38" s="60">
        <v>191</v>
      </c>
      <c r="BQ38" s="60">
        <v>3441</v>
      </c>
      <c r="CE38" s="59">
        <v>34</v>
      </c>
      <c r="CF38" s="60">
        <v>2579</v>
      </c>
      <c r="CG38" s="60">
        <v>115</v>
      </c>
      <c r="CH38" s="87">
        <v>74.599999999999994</v>
      </c>
      <c r="CI38" s="88">
        <v>1.4019999999999999</v>
      </c>
      <c r="CJ38" s="60">
        <v>200</v>
      </c>
      <c r="CK38" s="60">
        <v>3615</v>
      </c>
      <c r="CZ38" s="59">
        <v>34</v>
      </c>
      <c r="DA38" s="60">
        <v>2248</v>
      </c>
      <c r="DB38" s="60">
        <v>100</v>
      </c>
      <c r="DC38" s="87">
        <v>64.900000000000006</v>
      </c>
      <c r="DD38" s="88">
        <v>1.452</v>
      </c>
      <c r="DE38" s="60">
        <v>181</v>
      </c>
      <c r="DF38" s="60">
        <v>3263</v>
      </c>
    </row>
    <row r="39" spans="34:110" x14ac:dyDescent="0.25">
      <c r="BK39" s="76">
        <v>35</v>
      </c>
      <c r="BL39" s="77">
        <v>2521</v>
      </c>
      <c r="BM39" s="77">
        <v>108</v>
      </c>
      <c r="BN39" s="78">
        <v>70.8</v>
      </c>
      <c r="BO39" s="79">
        <v>1.4410000000000001</v>
      </c>
      <c r="BP39" s="77">
        <v>194</v>
      </c>
      <c r="BQ39" s="77">
        <v>3635</v>
      </c>
      <c r="CE39" s="76">
        <v>35</v>
      </c>
      <c r="CF39" s="77">
        <v>2694</v>
      </c>
      <c r="CG39" s="77">
        <v>115</v>
      </c>
      <c r="CH39" s="78">
        <v>75.8</v>
      </c>
      <c r="CI39" s="79">
        <v>1.417</v>
      </c>
      <c r="CJ39" s="77">
        <v>204</v>
      </c>
      <c r="CK39" s="77">
        <v>3819</v>
      </c>
      <c r="CZ39" s="76">
        <v>35</v>
      </c>
      <c r="DA39" s="77">
        <v>2348</v>
      </c>
      <c r="DB39" s="77">
        <v>100</v>
      </c>
      <c r="DC39" s="78">
        <v>65.900000000000006</v>
      </c>
      <c r="DD39" s="79">
        <v>1.4690000000000001</v>
      </c>
      <c r="DE39" s="77">
        <v>185</v>
      </c>
      <c r="DF39" s="77">
        <v>3448</v>
      </c>
    </row>
    <row r="40" spans="34:110" x14ac:dyDescent="0.25">
      <c r="BK40" s="81">
        <v>36</v>
      </c>
      <c r="BL40" s="82">
        <v>2629</v>
      </c>
      <c r="BM40" s="82">
        <v>108</v>
      </c>
      <c r="BN40" s="83">
        <v>71.900000000000006</v>
      </c>
      <c r="BO40" s="84">
        <v>1.4570000000000001</v>
      </c>
      <c r="BP40" s="82">
        <v>198</v>
      </c>
      <c r="BQ40" s="82">
        <v>3833</v>
      </c>
      <c r="CE40" s="81">
        <v>36</v>
      </c>
      <c r="CF40" s="82">
        <v>2810</v>
      </c>
      <c r="CG40" s="82">
        <v>116</v>
      </c>
      <c r="CH40" s="83">
        <v>76.900000000000006</v>
      </c>
      <c r="CI40" s="84">
        <v>1.4330000000000001</v>
      </c>
      <c r="CJ40" s="82">
        <v>208</v>
      </c>
      <c r="CK40" s="82">
        <v>4027</v>
      </c>
      <c r="CZ40" s="81">
        <v>36</v>
      </c>
      <c r="DA40" s="82">
        <v>2448</v>
      </c>
      <c r="DB40" s="82">
        <v>100</v>
      </c>
      <c r="DC40" s="83">
        <v>66.8</v>
      </c>
      <c r="DD40" s="84">
        <v>1.486</v>
      </c>
      <c r="DE40" s="82">
        <v>188</v>
      </c>
      <c r="DF40" s="82">
        <v>3636</v>
      </c>
    </row>
    <row r="41" spans="34:110" x14ac:dyDescent="0.25">
      <c r="BK41" s="67">
        <v>37</v>
      </c>
      <c r="BL41" s="68">
        <v>2738</v>
      </c>
      <c r="BM41" s="68">
        <v>109</v>
      </c>
      <c r="BN41" s="85">
        <v>72.900000000000006</v>
      </c>
      <c r="BO41" s="86">
        <v>1.474</v>
      </c>
      <c r="BP41" s="68">
        <v>202</v>
      </c>
      <c r="BQ41" s="68">
        <v>4035</v>
      </c>
      <c r="CE41" s="67">
        <v>37</v>
      </c>
      <c r="CF41" s="68">
        <v>2926</v>
      </c>
      <c r="CG41" s="68">
        <v>116</v>
      </c>
      <c r="CH41" s="85">
        <v>78</v>
      </c>
      <c r="CI41" s="86">
        <v>1.4490000000000001</v>
      </c>
      <c r="CJ41" s="68">
        <v>212</v>
      </c>
      <c r="CK41" s="68">
        <v>4239</v>
      </c>
      <c r="CZ41" s="67">
        <v>37</v>
      </c>
      <c r="DA41" s="68">
        <v>2549</v>
      </c>
      <c r="DB41" s="68">
        <v>101</v>
      </c>
      <c r="DC41" s="85">
        <v>67.8</v>
      </c>
      <c r="DD41" s="86">
        <v>1.502</v>
      </c>
      <c r="DE41" s="68">
        <v>192</v>
      </c>
      <c r="DF41" s="68">
        <v>3828</v>
      </c>
    </row>
    <row r="42" spans="34:110" x14ac:dyDescent="0.25">
      <c r="BK42" s="59">
        <v>38</v>
      </c>
      <c r="BL42" s="60">
        <v>2846</v>
      </c>
      <c r="BM42" s="60">
        <v>108</v>
      </c>
      <c r="BN42" s="87">
        <v>73.8</v>
      </c>
      <c r="BO42" s="88">
        <v>1.49</v>
      </c>
      <c r="BP42" s="60">
        <v>206</v>
      </c>
      <c r="BQ42" s="60">
        <v>4241</v>
      </c>
      <c r="CE42" s="59">
        <v>38</v>
      </c>
      <c r="CF42" s="60">
        <v>3042</v>
      </c>
      <c r="CG42" s="60">
        <v>116</v>
      </c>
      <c r="CH42" s="87">
        <v>79</v>
      </c>
      <c r="CI42" s="88">
        <v>1.464</v>
      </c>
      <c r="CJ42" s="60">
        <v>215</v>
      </c>
      <c r="CK42" s="60">
        <v>4454</v>
      </c>
      <c r="CZ42" s="59">
        <v>38</v>
      </c>
      <c r="DA42" s="60">
        <v>2650</v>
      </c>
      <c r="DB42" s="60">
        <v>101</v>
      </c>
      <c r="DC42" s="87">
        <v>68.599999999999994</v>
      </c>
      <c r="DD42" s="88">
        <v>1.5189999999999999</v>
      </c>
      <c r="DE42" s="60">
        <v>196</v>
      </c>
      <c r="DF42" s="60">
        <v>4024</v>
      </c>
    </row>
    <row r="43" spans="34:110" x14ac:dyDescent="0.25">
      <c r="BK43" s="67">
        <v>39</v>
      </c>
      <c r="BL43" s="68">
        <v>2954</v>
      </c>
      <c r="BM43" s="68">
        <v>108</v>
      </c>
      <c r="BN43" s="85">
        <v>74.7</v>
      </c>
      <c r="BO43" s="86">
        <v>1.506</v>
      </c>
      <c r="BP43" s="68">
        <v>209</v>
      </c>
      <c r="BQ43" s="68">
        <v>4450</v>
      </c>
      <c r="CE43" s="67">
        <v>39</v>
      </c>
      <c r="CF43" s="68">
        <v>3158</v>
      </c>
      <c r="CG43" s="68">
        <v>116</v>
      </c>
      <c r="CH43" s="85">
        <v>79.900000000000006</v>
      </c>
      <c r="CI43" s="86">
        <v>1.48</v>
      </c>
      <c r="CJ43" s="68">
        <v>219</v>
      </c>
      <c r="CK43" s="68">
        <v>4673</v>
      </c>
      <c r="CZ43" s="67">
        <v>39</v>
      </c>
      <c r="DA43" s="68">
        <v>2751</v>
      </c>
      <c r="DB43" s="68">
        <v>101</v>
      </c>
      <c r="DC43" s="85">
        <v>69.5</v>
      </c>
      <c r="DD43" s="86">
        <v>1.5349999999999999</v>
      </c>
      <c r="DE43" s="68">
        <v>199</v>
      </c>
      <c r="DF43" s="68">
        <v>4223</v>
      </c>
    </row>
    <row r="44" spans="34:110" x14ac:dyDescent="0.25">
      <c r="BK44" s="59">
        <v>40</v>
      </c>
      <c r="BL44" s="60">
        <v>3062</v>
      </c>
      <c r="BM44" s="60">
        <v>108</v>
      </c>
      <c r="BN44" s="87">
        <v>75.5</v>
      </c>
      <c r="BO44" s="88">
        <v>1.522</v>
      </c>
      <c r="BP44" s="60">
        <v>213</v>
      </c>
      <c r="BQ44" s="60">
        <v>4663</v>
      </c>
      <c r="CE44" s="59">
        <v>40</v>
      </c>
      <c r="CF44" s="60">
        <v>3274</v>
      </c>
      <c r="CG44" s="60">
        <v>116</v>
      </c>
      <c r="CH44" s="87">
        <v>80.8</v>
      </c>
      <c r="CI44" s="88">
        <v>1.496</v>
      </c>
      <c r="CJ44" s="60">
        <v>223</v>
      </c>
      <c r="CK44" s="60">
        <v>4896</v>
      </c>
      <c r="CZ44" s="59">
        <v>40</v>
      </c>
      <c r="DA44" s="60">
        <v>2852</v>
      </c>
      <c r="DB44" s="60">
        <v>101</v>
      </c>
      <c r="DC44" s="87">
        <v>70.3</v>
      </c>
      <c r="DD44" s="88">
        <v>1.552</v>
      </c>
      <c r="DE44" s="60">
        <v>203</v>
      </c>
      <c r="DF44" s="60">
        <v>4426</v>
      </c>
    </row>
    <row r="45" spans="34:110" x14ac:dyDescent="0.25">
      <c r="BK45" s="67">
        <v>41</v>
      </c>
      <c r="BL45" s="68">
        <v>3170</v>
      </c>
      <c r="BM45" s="68">
        <v>108</v>
      </c>
      <c r="BN45" s="85">
        <v>76.3</v>
      </c>
      <c r="BO45" s="86">
        <v>1.5389999999999999</v>
      </c>
      <c r="BP45" s="68">
        <v>217</v>
      </c>
      <c r="BQ45" s="68">
        <v>4880</v>
      </c>
      <c r="CE45" s="67">
        <v>41</v>
      </c>
      <c r="CF45" s="68">
        <v>3389</v>
      </c>
      <c r="CG45" s="68">
        <v>115</v>
      </c>
      <c r="CH45" s="85">
        <v>81.599999999999994</v>
      </c>
      <c r="CI45" s="86">
        <v>1.512</v>
      </c>
      <c r="CJ45" s="68">
        <v>226</v>
      </c>
      <c r="CK45" s="68">
        <v>5122</v>
      </c>
      <c r="CZ45" s="67">
        <v>41</v>
      </c>
      <c r="DA45" s="68">
        <v>2952</v>
      </c>
      <c r="DB45" s="68">
        <v>100</v>
      </c>
      <c r="DC45" s="85">
        <v>71</v>
      </c>
      <c r="DD45" s="86">
        <v>1.57</v>
      </c>
      <c r="DE45" s="68">
        <v>207</v>
      </c>
      <c r="DF45" s="68">
        <v>4633</v>
      </c>
    </row>
    <row r="46" spans="34:110" x14ac:dyDescent="0.25">
      <c r="BK46" s="89">
        <v>42</v>
      </c>
      <c r="BL46" s="90">
        <v>3278</v>
      </c>
      <c r="BM46" s="90">
        <v>108</v>
      </c>
      <c r="BN46" s="91">
        <v>77.099999999999994</v>
      </c>
      <c r="BO46" s="92">
        <v>1.5549999999999999</v>
      </c>
      <c r="BP46" s="90">
        <v>220</v>
      </c>
      <c r="BQ46" s="90">
        <v>5100</v>
      </c>
      <c r="CE46" s="89">
        <v>42</v>
      </c>
      <c r="CF46" s="90">
        <v>3503</v>
      </c>
      <c r="CG46" s="90">
        <v>114</v>
      </c>
      <c r="CH46" s="91">
        <v>82.4</v>
      </c>
      <c r="CI46" s="92">
        <v>1.528</v>
      </c>
      <c r="CJ46" s="90">
        <v>230</v>
      </c>
      <c r="CK46" s="90">
        <v>5352</v>
      </c>
      <c r="CZ46" s="89">
        <v>42</v>
      </c>
      <c r="DA46" s="90">
        <v>3052</v>
      </c>
      <c r="DB46" s="90">
        <v>100</v>
      </c>
      <c r="DC46" s="91">
        <v>71.7</v>
      </c>
      <c r="DD46" s="92">
        <v>1.587</v>
      </c>
      <c r="DE46" s="90">
        <v>210</v>
      </c>
      <c r="DF46" s="90">
        <v>4843</v>
      </c>
    </row>
    <row r="47" spans="34:110" x14ac:dyDescent="0.25">
      <c r="BK47" s="93">
        <v>43</v>
      </c>
      <c r="BL47" s="94">
        <v>3384</v>
      </c>
      <c r="BM47" s="94">
        <v>106</v>
      </c>
      <c r="BN47" s="95">
        <v>77.7</v>
      </c>
      <c r="BO47" s="96">
        <v>1.573</v>
      </c>
      <c r="BP47" s="94">
        <v>224</v>
      </c>
      <c r="BQ47" s="94">
        <v>5324</v>
      </c>
      <c r="CE47" s="93">
        <v>43</v>
      </c>
      <c r="CF47" s="94">
        <v>3617</v>
      </c>
      <c r="CG47" s="94">
        <v>114</v>
      </c>
      <c r="CH47" s="95">
        <v>83.1</v>
      </c>
      <c r="CI47" s="96">
        <v>1.544</v>
      </c>
      <c r="CJ47" s="94">
        <v>234</v>
      </c>
      <c r="CK47" s="94">
        <v>5586</v>
      </c>
      <c r="CZ47" s="93">
        <v>43</v>
      </c>
      <c r="DA47" s="94">
        <v>3151</v>
      </c>
      <c r="DB47" s="94">
        <v>99</v>
      </c>
      <c r="DC47" s="95">
        <v>72.3</v>
      </c>
      <c r="DD47" s="96">
        <v>1.605</v>
      </c>
      <c r="DE47" s="94">
        <v>214</v>
      </c>
      <c r="DF47" s="94">
        <v>5057</v>
      </c>
    </row>
    <row r="48" spans="34:110" x14ac:dyDescent="0.25">
      <c r="BK48" s="59">
        <v>44</v>
      </c>
      <c r="BL48" s="60">
        <v>3490</v>
      </c>
      <c r="BM48" s="60">
        <v>106</v>
      </c>
      <c r="BN48" s="87">
        <v>78.400000000000006</v>
      </c>
      <c r="BO48" s="88">
        <v>1.59</v>
      </c>
      <c r="BP48" s="60">
        <v>228</v>
      </c>
      <c r="BQ48" s="60">
        <v>5552</v>
      </c>
      <c r="CE48" s="59">
        <v>44</v>
      </c>
      <c r="CF48" s="60">
        <v>3730</v>
      </c>
      <c r="CG48" s="60">
        <v>113</v>
      </c>
      <c r="CH48" s="87">
        <v>83.8</v>
      </c>
      <c r="CI48" s="88">
        <v>1.5609999999999999</v>
      </c>
      <c r="CJ48" s="60">
        <v>237</v>
      </c>
      <c r="CK48" s="60">
        <v>5823</v>
      </c>
      <c r="CZ48" s="59">
        <v>44</v>
      </c>
      <c r="DA48" s="60">
        <v>3250</v>
      </c>
      <c r="DB48" s="60">
        <v>99</v>
      </c>
      <c r="DC48" s="87">
        <v>72.900000000000006</v>
      </c>
      <c r="DD48" s="88">
        <v>1.623</v>
      </c>
      <c r="DE48" s="60">
        <v>218</v>
      </c>
      <c r="DF48" s="60">
        <v>5275</v>
      </c>
    </row>
    <row r="49" spans="34:111" x14ac:dyDescent="0.25">
      <c r="BK49" s="67">
        <v>45</v>
      </c>
      <c r="BL49" s="68">
        <v>3595</v>
      </c>
      <c r="BM49" s="68">
        <v>105</v>
      </c>
      <c r="BN49" s="85">
        <v>79</v>
      </c>
      <c r="BO49" s="86">
        <v>1.6080000000000001</v>
      </c>
      <c r="BP49" s="68">
        <v>232</v>
      </c>
      <c r="BQ49" s="68">
        <v>5784</v>
      </c>
      <c r="CE49" s="67">
        <v>45</v>
      </c>
      <c r="CF49" s="68">
        <v>3842</v>
      </c>
      <c r="CG49" s="68">
        <v>112</v>
      </c>
      <c r="CH49" s="85">
        <v>84.4</v>
      </c>
      <c r="CI49" s="86">
        <v>1.579</v>
      </c>
      <c r="CJ49" s="68">
        <v>241</v>
      </c>
      <c r="CK49" s="68">
        <v>6064</v>
      </c>
      <c r="CZ49" s="67">
        <v>45</v>
      </c>
      <c r="DA49" s="68">
        <v>3348</v>
      </c>
      <c r="DB49" s="68">
        <v>98</v>
      </c>
      <c r="DC49" s="85">
        <v>73.5</v>
      </c>
      <c r="DD49" s="86">
        <v>1.6419999999999999</v>
      </c>
      <c r="DE49" s="68">
        <v>222</v>
      </c>
      <c r="DF49" s="68">
        <v>5497</v>
      </c>
    </row>
    <row r="50" spans="34:111" x14ac:dyDescent="0.25">
      <c r="BK50" s="59">
        <v>46</v>
      </c>
      <c r="BL50" s="60">
        <v>3699</v>
      </c>
      <c r="BM50" s="60">
        <v>104</v>
      </c>
      <c r="BN50" s="87">
        <v>79.5</v>
      </c>
      <c r="BO50" s="88">
        <v>1.627</v>
      </c>
      <c r="BP50" s="60">
        <v>236</v>
      </c>
      <c r="BQ50" s="60">
        <v>6020</v>
      </c>
      <c r="CE50" s="59">
        <v>46</v>
      </c>
      <c r="CF50" s="60">
        <v>3952</v>
      </c>
      <c r="CG50" s="60">
        <v>110</v>
      </c>
      <c r="CH50" s="87">
        <v>85</v>
      </c>
      <c r="CI50" s="88">
        <v>1.597</v>
      </c>
      <c r="CJ50" s="60">
        <v>245</v>
      </c>
      <c r="CK50" s="60">
        <v>6309</v>
      </c>
      <c r="CZ50" s="59">
        <v>46</v>
      </c>
      <c r="DA50" s="60">
        <v>3445</v>
      </c>
      <c r="DB50" s="60">
        <v>97</v>
      </c>
      <c r="DC50" s="87">
        <v>74</v>
      </c>
      <c r="DD50" s="88">
        <v>1.6619999999999999</v>
      </c>
      <c r="DE50" s="60">
        <v>226</v>
      </c>
      <c r="DF50" s="60">
        <v>5723</v>
      </c>
    </row>
    <row r="51" spans="34:111" x14ac:dyDescent="0.25">
      <c r="BK51" s="67">
        <v>47</v>
      </c>
      <c r="BL51" s="68">
        <v>3801</v>
      </c>
      <c r="BM51" s="68">
        <v>102</v>
      </c>
      <c r="BN51" s="85">
        <v>80</v>
      </c>
      <c r="BO51" s="86">
        <v>1.6459999999999999</v>
      </c>
      <c r="BP51" s="68">
        <v>239</v>
      </c>
      <c r="BQ51" s="68">
        <v>6259</v>
      </c>
      <c r="CE51" s="67">
        <v>47</v>
      </c>
      <c r="CF51" s="68">
        <v>4062</v>
      </c>
      <c r="CG51" s="68">
        <v>110</v>
      </c>
      <c r="CH51" s="85">
        <v>85.5</v>
      </c>
      <c r="CI51" s="86">
        <v>1.615</v>
      </c>
      <c r="CJ51" s="68">
        <v>248</v>
      </c>
      <c r="CK51" s="68">
        <v>6557</v>
      </c>
      <c r="CZ51" s="67">
        <v>47</v>
      </c>
      <c r="DA51" s="68">
        <v>3540</v>
      </c>
      <c r="DB51" s="68">
        <v>95</v>
      </c>
      <c r="DC51" s="85">
        <v>74.400000000000006</v>
      </c>
      <c r="DD51" s="86">
        <v>1.6819999999999999</v>
      </c>
      <c r="DE51" s="68">
        <v>230</v>
      </c>
      <c r="DF51" s="68">
        <v>5953</v>
      </c>
    </row>
    <row r="52" spans="34:111" x14ac:dyDescent="0.25">
      <c r="BK52" s="59">
        <v>48</v>
      </c>
      <c r="BL52" s="60">
        <v>3902</v>
      </c>
      <c r="BM52" s="60">
        <v>101</v>
      </c>
      <c r="BN52" s="87">
        <v>80.400000000000006</v>
      </c>
      <c r="BO52" s="88">
        <v>1.6659999999999999</v>
      </c>
      <c r="BP52" s="60">
        <v>243</v>
      </c>
      <c r="BQ52" s="60">
        <v>6502</v>
      </c>
      <c r="CE52" s="59">
        <v>48</v>
      </c>
      <c r="CF52" s="60">
        <v>4169</v>
      </c>
      <c r="CG52" s="60">
        <v>107</v>
      </c>
      <c r="CH52" s="87">
        <v>86</v>
      </c>
      <c r="CI52" s="88">
        <v>1.633</v>
      </c>
      <c r="CJ52" s="60">
        <v>252</v>
      </c>
      <c r="CK52" s="60">
        <v>6809</v>
      </c>
      <c r="CZ52" s="59">
        <v>48</v>
      </c>
      <c r="DA52" s="60">
        <v>3635</v>
      </c>
      <c r="DB52" s="60">
        <v>95</v>
      </c>
      <c r="DC52" s="87">
        <v>74.900000000000006</v>
      </c>
      <c r="DD52" s="88">
        <v>1.7030000000000001</v>
      </c>
      <c r="DE52" s="60">
        <v>234</v>
      </c>
      <c r="DF52" s="60">
        <v>6187</v>
      </c>
    </row>
    <row r="53" spans="34:111" x14ac:dyDescent="0.25">
      <c r="BK53" s="76">
        <v>49</v>
      </c>
      <c r="BL53" s="77">
        <v>4001</v>
      </c>
      <c r="BM53" s="77">
        <v>99</v>
      </c>
      <c r="BN53" s="78">
        <v>80.8</v>
      </c>
      <c r="BO53" s="79">
        <v>1.6859999999999999</v>
      </c>
      <c r="BP53" s="77">
        <v>247</v>
      </c>
      <c r="BQ53" s="77">
        <v>6749</v>
      </c>
      <c r="CE53" s="76">
        <v>49</v>
      </c>
      <c r="CF53" s="77">
        <v>4275</v>
      </c>
      <c r="CG53" s="77">
        <v>106</v>
      </c>
      <c r="CH53" s="78">
        <v>86.4</v>
      </c>
      <c r="CI53" s="79">
        <v>1.653</v>
      </c>
      <c r="CJ53" s="77">
        <v>255</v>
      </c>
      <c r="CK53" s="77">
        <v>7064</v>
      </c>
      <c r="CZ53" s="76">
        <v>49</v>
      </c>
      <c r="DA53" s="77">
        <v>3728</v>
      </c>
      <c r="DB53" s="77">
        <v>93</v>
      </c>
      <c r="DC53" s="78">
        <v>75.2</v>
      </c>
      <c r="DD53" s="79">
        <v>1.724</v>
      </c>
      <c r="DE53" s="77">
        <v>238</v>
      </c>
      <c r="DF53" s="77">
        <v>6425</v>
      </c>
    </row>
    <row r="54" spans="34:111" x14ac:dyDescent="0.25">
      <c r="BK54" s="81">
        <v>50</v>
      </c>
      <c r="BL54" s="82">
        <v>4099</v>
      </c>
      <c r="BM54" s="82">
        <v>98</v>
      </c>
      <c r="BN54" s="83">
        <v>81.099999999999994</v>
      </c>
      <c r="BO54" s="84">
        <v>1.7070000000000001</v>
      </c>
      <c r="BP54" s="82">
        <v>250</v>
      </c>
      <c r="BQ54" s="82">
        <v>6999</v>
      </c>
      <c r="CE54" s="81">
        <v>50</v>
      </c>
      <c r="CF54" s="82">
        <v>4379</v>
      </c>
      <c r="CG54" s="82">
        <v>104</v>
      </c>
      <c r="CH54" s="83">
        <v>86.7</v>
      </c>
      <c r="CI54" s="84">
        <v>1.6719999999999999</v>
      </c>
      <c r="CJ54" s="82">
        <v>258</v>
      </c>
      <c r="CK54" s="82">
        <v>7322</v>
      </c>
      <c r="CZ54" s="81">
        <v>50</v>
      </c>
      <c r="DA54" s="82">
        <v>3819</v>
      </c>
      <c r="DB54" s="82">
        <v>91</v>
      </c>
      <c r="DC54" s="83">
        <v>75.5</v>
      </c>
      <c r="DD54" s="84">
        <v>1.746</v>
      </c>
      <c r="DE54" s="82">
        <v>242</v>
      </c>
      <c r="DF54" s="82">
        <v>6667</v>
      </c>
    </row>
    <row r="55" spans="34:111" x14ac:dyDescent="0.25">
      <c r="BK55" s="67">
        <v>51</v>
      </c>
      <c r="BL55" s="68">
        <v>4195</v>
      </c>
      <c r="BM55" s="68">
        <v>96</v>
      </c>
      <c r="BN55" s="85">
        <v>81.400000000000006</v>
      </c>
      <c r="BO55" s="86">
        <v>1.728</v>
      </c>
      <c r="BP55" s="68">
        <v>253</v>
      </c>
      <c r="BQ55" s="68">
        <v>7252</v>
      </c>
      <c r="CE55" s="67">
        <v>51</v>
      </c>
      <c r="CF55" s="68">
        <v>4481</v>
      </c>
      <c r="CG55" s="68">
        <v>102</v>
      </c>
      <c r="CH55" s="85">
        <v>87</v>
      </c>
      <c r="CI55" s="86">
        <v>1.6930000000000001</v>
      </c>
      <c r="CJ55" s="68">
        <v>261</v>
      </c>
      <c r="CK55" s="68">
        <v>7583</v>
      </c>
      <c r="CZ55" s="67">
        <v>51</v>
      </c>
      <c r="DA55" s="68">
        <v>3909</v>
      </c>
      <c r="DB55" s="68">
        <v>90</v>
      </c>
      <c r="DC55" s="85">
        <v>75.8</v>
      </c>
      <c r="DD55" s="86">
        <v>1.7689999999999999</v>
      </c>
      <c r="DE55" s="68">
        <v>245</v>
      </c>
      <c r="DF55" s="68">
        <v>6912</v>
      </c>
    </row>
    <row r="56" spans="34:111" x14ac:dyDescent="0.25">
      <c r="BK56" s="59">
        <v>52</v>
      </c>
      <c r="BL56" s="60">
        <v>4289</v>
      </c>
      <c r="BM56" s="60">
        <v>94</v>
      </c>
      <c r="BN56" s="87">
        <v>81.7</v>
      </c>
      <c r="BO56" s="88">
        <v>1.75</v>
      </c>
      <c r="BP56" s="60">
        <v>256</v>
      </c>
      <c r="BQ56" s="60">
        <v>7508</v>
      </c>
      <c r="CE56" s="59">
        <v>52</v>
      </c>
      <c r="CF56" s="60">
        <v>4580</v>
      </c>
      <c r="CG56" s="60">
        <v>99</v>
      </c>
      <c r="CH56" s="87">
        <v>87.3</v>
      </c>
      <c r="CI56" s="88">
        <v>1.7130000000000001</v>
      </c>
      <c r="CJ56" s="60">
        <v>263</v>
      </c>
      <c r="CK56" s="60">
        <v>7846</v>
      </c>
      <c r="CZ56" s="59">
        <v>52</v>
      </c>
      <c r="DA56" s="60">
        <v>3997</v>
      </c>
      <c r="DB56" s="60">
        <v>88</v>
      </c>
      <c r="DC56" s="87">
        <v>76.099999999999994</v>
      </c>
      <c r="DD56" s="88">
        <v>1.792</v>
      </c>
      <c r="DE56" s="60">
        <v>249</v>
      </c>
      <c r="DF56" s="60">
        <v>7161</v>
      </c>
    </row>
    <row r="57" spans="34:111" x14ac:dyDescent="0.25">
      <c r="BK57" s="67">
        <v>53</v>
      </c>
      <c r="BL57" s="68">
        <v>4380</v>
      </c>
      <c r="BM57" s="68">
        <v>91</v>
      </c>
      <c r="BN57" s="85">
        <v>81.900000000000006</v>
      </c>
      <c r="BO57" s="86">
        <v>1.772</v>
      </c>
      <c r="BP57" s="68">
        <v>258</v>
      </c>
      <c r="BQ57" s="68">
        <v>7766</v>
      </c>
      <c r="CE57" s="67">
        <v>53</v>
      </c>
      <c r="CF57" s="68">
        <v>4677</v>
      </c>
      <c r="CG57" s="68">
        <v>97</v>
      </c>
      <c r="CH57" s="85">
        <v>87.5</v>
      </c>
      <c r="CI57" s="86">
        <v>1.734</v>
      </c>
      <c r="CJ57" s="68">
        <v>265</v>
      </c>
      <c r="CK57" s="68">
        <v>8111</v>
      </c>
      <c r="CZ57" s="67">
        <v>53</v>
      </c>
      <c r="DA57" s="68">
        <v>4083</v>
      </c>
      <c r="DB57" s="68">
        <v>86</v>
      </c>
      <c r="DC57" s="85">
        <v>76.3</v>
      </c>
      <c r="DD57" s="86">
        <v>1.8160000000000001</v>
      </c>
      <c r="DE57" s="68">
        <v>252</v>
      </c>
      <c r="DF57" s="68">
        <v>7413</v>
      </c>
    </row>
    <row r="58" spans="34:111" x14ac:dyDescent="0.25">
      <c r="BK58" s="59">
        <v>54</v>
      </c>
      <c r="BL58" s="60">
        <v>4470</v>
      </c>
      <c r="BM58" s="60">
        <v>90</v>
      </c>
      <c r="BN58" s="87">
        <v>82</v>
      </c>
      <c r="BO58" s="88">
        <v>1.7949999999999999</v>
      </c>
      <c r="BP58" s="60">
        <v>260</v>
      </c>
      <c r="BQ58" s="60">
        <v>8026</v>
      </c>
      <c r="CE58" s="59">
        <v>54</v>
      </c>
      <c r="CF58" s="60">
        <v>4772</v>
      </c>
      <c r="CG58" s="60">
        <v>95</v>
      </c>
      <c r="CH58" s="87">
        <v>87.6</v>
      </c>
      <c r="CI58" s="88">
        <v>1.7549999999999999</v>
      </c>
      <c r="CJ58" s="60">
        <v>266</v>
      </c>
      <c r="CK58" s="60">
        <v>8377</v>
      </c>
      <c r="CZ58" s="59">
        <v>54</v>
      </c>
      <c r="DA58" s="60">
        <v>4167</v>
      </c>
      <c r="DB58" s="60">
        <v>84</v>
      </c>
      <c r="DC58" s="87">
        <v>76.400000000000006</v>
      </c>
      <c r="DD58" s="88">
        <v>1.84</v>
      </c>
      <c r="DE58" s="60">
        <v>254</v>
      </c>
      <c r="DF58" s="60">
        <v>7667</v>
      </c>
    </row>
    <row r="59" spans="34:111" x14ac:dyDescent="0.25">
      <c r="BK59" s="67">
        <v>55</v>
      </c>
      <c r="BL59" s="68">
        <v>4557</v>
      </c>
      <c r="BM59" s="68">
        <v>87</v>
      </c>
      <c r="BN59" s="85">
        <v>82.1</v>
      </c>
      <c r="BO59" s="86">
        <v>1.8180000000000001</v>
      </c>
      <c r="BP59" s="68">
        <v>261</v>
      </c>
      <c r="BQ59" s="68">
        <v>8287</v>
      </c>
      <c r="CE59" s="67">
        <v>55</v>
      </c>
      <c r="CF59" s="68">
        <v>4864</v>
      </c>
      <c r="CG59" s="68">
        <v>92</v>
      </c>
      <c r="CH59" s="85">
        <v>87.7</v>
      </c>
      <c r="CI59" s="86">
        <v>1.7769999999999999</v>
      </c>
      <c r="CJ59" s="68">
        <v>266</v>
      </c>
      <c r="CK59" s="68">
        <v>8643</v>
      </c>
      <c r="CZ59" s="67">
        <v>55</v>
      </c>
      <c r="DA59" s="68">
        <v>4249</v>
      </c>
      <c r="DB59" s="68">
        <v>82</v>
      </c>
      <c r="DC59" s="85">
        <v>76.5</v>
      </c>
      <c r="DD59" s="86">
        <v>1.865</v>
      </c>
      <c r="DE59" s="68">
        <v>256</v>
      </c>
      <c r="DF59" s="68">
        <v>7923</v>
      </c>
    </row>
    <row r="60" spans="34:111" x14ac:dyDescent="0.25">
      <c r="BK60" s="89">
        <v>56</v>
      </c>
      <c r="BL60" s="90">
        <v>4641</v>
      </c>
      <c r="BM60" s="90">
        <v>84</v>
      </c>
      <c r="BN60" s="91">
        <v>82.1</v>
      </c>
      <c r="BO60" s="92">
        <v>1.8420000000000001</v>
      </c>
      <c r="BP60" s="90">
        <v>262</v>
      </c>
      <c r="BQ60" s="90">
        <v>8549</v>
      </c>
      <c r="CE60" s="89">
        <v>56</v>
      </c>
      <c r="CF60" s="90">
        <v>4953</v>
      </c>
      <c r="CG60" s="90">
        <v>89</v>
      </c>
      <c r="CH60" s="91">
        <v>87.7</v>
      </c>
      <c r="CI60" s="92">
        <v>1.7989999999999999</v>
      </c>
      <c r="CJ60" s="90">
        <v>266</v>
      </c>
      <c r="CK60" s="90">
        <v>8909</v>
      </c>
      <c r="CZ60" s="89">
        <v>56</v>
      </c>
      <c r="DA60" s="90">
        <v>4329</v>
      </c>
      <c r="DB60" s="90">
        <v>80</v>
      </c>
      <c r="DC60" s="91">
        <v>76.599999999999994</v>
      </c>
      <c r="DD60" s="92">
        <v>1.89</v>
      </c>
      <c r="DE60" s="90">
        <v>257</v>
      </c>
      <c r="DF60" s="90">
        <v>8180</v>
      </c>
    </row>
    <row r="61" spans="34:111" x14ac:dyDescent="0.25">
      <c r="AH61" s="128" t="s">
        <v>91</v>
      </c>
      <c r="AI61" s="128"/>
      <c r="AJ61" s="128"/>
      <c r="AK61" s="128"/>
      <c r="AL61" s="128"/>
      <c r="AM61" s="128"/>
      <c r="AN61" s="128"/>
      <c r="AO61" s="128"/>
      <c r="AP61" s="128"/>
      <c r="BK61" s="129" t="s">
        <v>92</v>
      </c>
      <c r="BL61" s="129"/>
      <c r="BM61" s="129"/>
      <c r="BN61" s="129"/>
      <c r="BO61" s="129"/>
      <c r="BP61" s="129"/>
      <c r="BQ61" s="129"/>
      <c r="BR61" s="129"/>
      <c r="CE61" s="129" t="s">
        <v>92</v>
      </c>
      <c r="CF61" s="129"/>
      <c r="CG61" s="129"/>
      <c r="CH61" s="129"/>
      <c r="CI61" s="129"/>
      <c r="CJ61" s="129"/>
      <c r="CK61" s="129"/>
      <c r="CL61" s="129"/>
      <c r="CZ61" s="129" t="s">
        <v>92</v>
      </c>
      <c r="DA61" s="129"/>
      <c r="DB61" s="129"/>
      <c r="DC61" s="129"/>
      <c r="DD61" s="129"/>
      <c r="DE61" s="129"/>
      <c r="DF61" s="129"/>
      <c r="DG61" s="129"/>
    </row>
    <row r="62" spans="34:111" x14ac:dyDescent="0.25">
      <c r="BK62" s="124" t="s">
        <v>93</v>
      </c>
      <c r="BL62" s="124"/>
      <c r="BM62" s="124"/>
      <c r="BN62" s="124"/>
      <c r="BO62" s="124"/>
      <c r="BP62" s="124"/>
      <c r="BQ62" s="124"/>
      <c r="BR62" s="124"/>
    </row>
    <row r="64" spans="34:111" x14ac:dyDescent="0.25">
      <c r="AH64" s="46" t="s">
        <v>94</v>
      </c>
      <c r="AI64" s="46" t="s">
        <v>95</v>
      </c>
      <c r="AJ64" s="46" t="s">
        <v>96</v>
      </c>
      <c r="AK64" s="46" t="s">
        <v>97</v>
      </c>
      <c r="AL64" s="46" t="s">
        <v>98</v>
      </c>
      <c r="AM64" s="46" t="s">
        <v>99</v>
      </c>
      <c r="AN64" s="46" t="s">
        <v>100</v>
      </c>
    </row>
    <row r="65" spans="34:40" x14ac:dyDescent="0.25">
      <c r="AH65" s="42">
        <v>1590</v>
      </c>
      <c r="AI65" s="42">
        <v>72.900000000000006</v>
      </c>
      <c r="AJ65" s="42">
        <v>22.85</v>
      </c>
      <c r="AK65" s="42">
        <v>22.03</v>
      </c>
      <c r="AL65" s="42">
        <v>7.4</v>
      </c>
      <c r="AM65" s="42">
        <v>12.65</v>
      </c>
      <c r="AN65" s="42">
        <v>9.3800000000000008</v>
      </c>
    </row>
    <row r="66" spans="34:40" x14ac:dyDescent="0.25">
      <c r="AH66" s="42">
        <v>1700</v>
      </c>
      <c r="AI66" s="42">
        <v>73.2</v>
      </c>
      <c r="AJ66" s="42">
        <v>23.15</v>
      </c>
      <c r="AK66" s="42">
        <v>22.18</v>
      </c>
      <c r="AL66" s="42">
        <v>7.42</v>
      </c>
      <c r="AM66" s="42">
        <v>12.76</v>
      </c>
      <c r="AN66" s="42">
        <v>9.42</v>
      </c>
    </row>
    <row r="67" spans="34:40" x14ac:dyDescent="0.25">
      <c r="AH67" s="42">
        <v>1810</v>
      </c>
      <c r="AI67" s="42">
        <v>73.45</v>
      </c>
      <c r="AJ67" s="42">
        <v>23.45</v>
      </c>
      <c r="AK67" s="42">
        <v>22.32</v>
      </c>
      <c r="AL67" s="42">
        <v>7.44</v>
      </c>
      <c r="AM67" s="42">
        <v>12.87</v>
      </c>
      <c r="AN67" s="42">
        <v>9.4499999999999993</v>
      </c>
    </row>
    <row r="68" spans="34:40" x14ac:dyDescent="0.25">
      <c r="AH68" s="42">
        <v>2040</v>
      </c>
      <c r="AI68" s="42">
        <v>74</v>
      </c>
      <c r="AJ68" s="42">
        <v>24</v>
      </c>
      <c r="AK68" s="42">
        <v>22.61</v>
      </c>
      <c r="AL68" s="42">
        <v>7.49</v>
      </c>
      <c r="AM68" s="42">
        <v>13.1</v>
      </c>
      <c r="AN68" s="42">
        <v>9.51</v>
      </c>
    </row>
    <row r="69" spans="34:40" x14ac:dyDescent="0.25">
      <c r="AH69" s="42">
        <v>2270</v>
      </c>
      <c r="AI69" s="42">
        <v>74.45</v>
      </c>
      <c r="AJ69" s="42">
        <v>24.5</v>
      </c>
      <c r="AK69" s="42">
        <v>22.87</v>
      </c>
      <c r="AL69" s="42">
        <v>7.54</v>
      </c>
      <c r="AM69" s="42">
        <v>13.3</v>
      </c>
      <c r="AN69" s="42">
        <v>9.57</v>
      </c>
    </row>
    <row r="70" spans="34:40" x14ac:dyDescent="0.25">
      <c r="AH70" s="42">
        <v>2500</v>
      </c>
      <c r="AI70" s="42">
        <v>74.900000000000006</v>
      </c>
      <c r="AJ70" s="42">
        <v>25</v>
      </c>
      <c r="AK70" s="42">
        <v>23.1</v>
      </c>
      <c r="AL70" s="42">
        <v>7.58</v>
      </c>
      <c r="AM70" s="42">
        <v>13.48</v>
      </c>
      <c r="AN70" s="42">
        <v>9.6199999999999992</v>
      </c>
    </row>
    <row r="71" spans="34:40" x14ac:dyDescent="0.25">
      <c r="AH71" s="42">
        <v>2730</v>
      </c>
      <c r="AI71" s="42">
        <v>75.3</v>
      </c>
      <c r="AJ71" s="42">
        <v>25.4</v>
      </c>
      <c r="AK71" s="42">
        <v>23.31</v>
      </c>
      <c r="AL71" s="42">
        <v>7.62</v>
      </c>
      <c r="AM71" s="42">
        <v>13.65</v>
      </c>
      <c r="AN71" s="42">
        <v>9.66</v>
      </c>
    </row>
    <row r="72" spans="34:40" x14ac:dyDescent="0.25">
      <c r="AH72" s="42">
        <v>2950</v>
      </c>
      <c r="AI72" s="42">
        <v>75.650000000000006</v>
      </c>
      <c r="AJ72" s="42">
        <v>25.8</v>
      </c>
      <c r="AK72" s="42">
        <v>23.5</v>
      </c>
      <c r="AL72" s="42">
        <v>7.65</v>
      </c>
      <c r="AM72" s="42">
        <v>13.8</v>
      </c>
      <c r="AN72" s="42">
        <v>9.6999999999999993</v>
      </c>
    </row>
    <row r="73" spans="34:40" x14ac:dyDescent="0.25">
      <c r="AH73" s="42">
        <v>3180</v>
      </c>
      <c r="AI73" s="42">
        <v>76</v>
      </c>
      <c r="AJ73" s="42">
        <v>26.15</v>
      </c>
      <c r="AK73" s="42">
        <v>23.69</v>
      </c>
      <c r="AL73" s="42">
        <v>7.68</v>
      </c>
      <c r="AM73" s="42">
        <v>13.95</v>
      </c>
      <c r="AN73" s="42">
        <v>9.74</v>
      </c>
    </row>
    <row r="74" spans="34:40" x14ac:dyDescent="0.25">
      <c r="AH74" s="42">
        <v>3400</v>
      </c>
      <c r="AI74" s="42">
        <v>76.349999999999994</v>
      </c>
      <c r="AJ74" s="42">
        <v>26.45</v>
      </c>
      <c r="AK74" s="42">
        <v>23.86</v>
      </c>
      <c r="AL74" s="42">
        <v>7.71</v>
      </c>
      <c r="AM74" s="42">
        <v>14.08</v>
      </c>
      <c r="AN74" s="42">
        <v>9.7799999999999994</v>
      </c>
    </row>
    <row r="75" spans="34:40" x14ac:dyDescent="0.25">
      <c r="AH75" s="42">
        <v>3630</v>
      </c>
      <c r="AI75" s="42">
        <v>76.7</v>
      </c>
      <c r="AJ75" s="42">
        <v>26.8</v>
      </c>
      <c r="AK75" s="42">
        <v>24.02</v>
      </c>
      <c r="AL75" s="42">
        <v>7.74</v>
      </c>
      <c r="AM75" s="42">
        <v>14.2</v>
      </c>
      <c r="AN75" s="42">
        <v>9.82</v>
      </c>
    </row>
    <row r="76" spans="34:40" x14ac:dyDescent="0.25">
      <c r="AH76" s="42">
        <v>3860</v>
      </c>
      <c r="AI76" s="42">
        <v>77</v>
      </c>
      <c r="AJ76" s="42">
        <v>27.1</v>
      </c>
      <c r="AK76" s="42">
        <v>24.17</v>
      </c>
      <c r="AL76" s="42">
        <v>7.76</v>
      </c>
      <c r="AM76" s="42">
        <v>14.32</v>
      </c>
      <c r="AN76" s="42">
        <v>9.85</v>
      </c>
    </row>
    <row r="77" spans="34:40" x14ac:dyDescent="0.25">
      <c r="AH77" s="42">
        <v>4090</v>
      </c>
      <c r="AI77" s="42">
        <v>77.3</v>
      </c>
      <c r="AJ77" s="42">
        <v>27.35</v>
      </c>
      <c r="AK77" s="42">
        <v>24.3</v>
      </c>
      <c r="AL77" s="42">
        <v>7.78</v>
      </c>
      <c r="AM77" s="42">
        <v>14.42</v>
      </c>
      <c r="AN77" s="42">
        <v>9.8800000000000008</v>
      </c>
    </row>
    <row r="78" spans="34:40" x14ac:dyDescent="0.25">
      <c r="AH78" s="42">
        <v>4320</v>
      </c>
      <c r="AI78" s="42">
        <v>77.599999999999994</v>
      </c>
      <c r="AJ78" s="42">
        <v>27.6</v>
      </c>
      <c r="AK78" s="42">
        <v>24.43</v>
      </c>
      <c r="AL78" s="42">
        <v>7.8</v>
      </c>
      <c r="AM78" s="42">
        <v>14.52</v>
      </c>
      <c r="AN78" s="42">
        <v>9.91</v>
      </c>
    </row>
  </sheetData>
  <sheetProtection algorithmName="SHA-512" hashValue="pRW4zC7V1v876HTYnOadIzttKRSPiSKzfWogiJOHiw0VVbQ/Bmbq8+FCB8+brGZNvKDqqJ+bbly9T8y0YQI21Q==" saltValue="p/jNDYoulpDu76+xLZrWtA==" spinCount="100000" sheet="1" objects="1" scenarios="1"/>
  <mergeCells count="31">
    <mergeCell ref="A1:F1"/>
    <mergeCell ref="G1:J1"/>
    <mergeCell ref="AH1:AO1"/>
    <mergeCell ref="A2:J2"/>
    <mergeCell ref="A3:I3"/>
    <mergeCell ref="AH3:AI3"/>
    <mergeCell ref="F14:G14"/>
    <mergeCell ref="A4:B4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CE61:CL61"/>
    <mergeCell ref="CZ61:DG61"/>
    <mergeCell ref="F15:G15"/>
    <mergeCell ref="F16:G16"/>
    <mergeCell ref="F17:G17"/>
    <mergeCell ref="F18:G18"/>
    <mergeCell ref="F19:G19"/>
    <mergeCell ref="AH20:AO20"/>
    <mergeCell ref="BK62:BR62"/>
    <mergeCell ref="AH21:AI21"/>
    <mergeCell ref="AH37:AP37"/>
    <mergeCell ref="AH61:AP61"/>
    <mergeCell ref="BK61:BR61"/>
  </mergeCells>
  <hyperlinks>
    <hyperlink ref="AH61" r:id="rId1" display="http://www.cobb-vantress.com/" xr:uid="{ADDFBB59-C91C-496E-BC4B-B20C3D52FEEE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Objetivos Desempenho ROSS</vt:lpstr>
      <vt:lpstr>Objetivos desempenho COBB</vt:lpstr>
      <vt:lpstr>Equações ROSS</vt:lpstr>
      <vt:lpstr>Equações COBB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Garcia Neto</dc:creator>
  <cp:lastModifiedBy>Manoel Garcia Neto</cp:lastModifiedBy>
  <dcterms:created xsi:type="dcterms:W3CDTF">2025-10-16T12:32:49Z</dcterms:created>
  <dcterms:modified xsi:type="dcterms:W3CDTF">2025-10-23T12:34:42Z</dcterms:modified>
</cp:coreProperties>
</file>