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hananjay\3. Income Tax Computation\2025-26\"/>
    </mc:Choice>
  </mc:AlternateContent>
  <xr:revisionPtr revIDLastSave="0" documentId="13_ncr:1_{31EB2C11-87C6-4DDE-B7BF-FEC0534509F6}" xr6:coauthVersionLast="47" xr6:coauthVersionMax="47" xr10:uidLastSave="{00000000-0000-0000-0000-000000000000}"/>
  <workbookProtection workbookAlgorithmName="SHA-512" workbookHashValue="4SwoMDW3vHphsUSF3qBXhpoECxv3+utHcXwUCZoplLmuf3rsWNWK62mK8NXmssBR0p/4b1FEKtIzBQul4xBc3w==" workbookSaltValue="Hq3xy+HMAxqQt61Me5ioaA==" workbookSpinCount="100000" lockStructure="1"/>
  <bookViews>
    <workbookView xWindow="-108" yWindow="-108" windowWidth="23256" windowHeight="13896" xr2:uid="{00000000-000D-0000-FFFF-FFFF00000000}"/>
  </bookViews>
  <sheets>
    <sheet name="Income Tax Computation" sheetId="1" r:id="rId1"/>
    <sheet name="HRA" sheetId="3" r:id="rId2"/>
    <sheet name="Previous Employer Income" sheetId="2" state="hidden" r:id="rId3"/>
  </sheets>
  <definedNames>
    <definedName name="_xlnm.Print_Area" localSheetId="1">HRA!$B$1:$P$15</definedName>
    <definedName name="_xlnm.Print_Area" localSheetId="0">'Income Tax Computation'!$A$2:$Q$119</definedName>
    <definedName name="_xlnm.Print_Area" localSheetId="2">'Previous Employer Income'!$B$4:$M$7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11" i="3" l="1"/>
  <c r="N67" i="1" l="1"/>
  <c r="N48" i="1" l="1"/>
  <c r="D12" i="3"/>
  <c r="F9" i="3"/>
  <c r="G9" i="3" s="1"/>
  <c r="H9" i="3" s="1"/>
  <c r="I9" i="3" s="1"/>
  <c r="J9" i="3" s="1"/>
  <c r="K9" i="3" s="1"/>
  <c r="L9" i="3" s="1"/>
  <c r="M9" i="3" s="1"/>
  <c r="N9" i="3" s="1"/>
  <c r="O9" i="3" s="1"/>
  <c r="F10" i="3" l="1"/>
  <c r="G10" i="3" s="1"/>
  <c r="H10" i="3" s="1"/>
  <c r="I10" i="3" s="1"/>
  <c r="J10" i="3" s="1"/>
  <c r="K10" i="3" s="1"/>
  <c r="L10" i="3" s="1"/>
  <c r="M10" i="3" s="1"/>
  <c r="N10" i="3" s="1"/>
  <c r="O10" i="3" s="1"/>
  <c r="C5" i="3" l="1"/>
  <c r="C4" i="3"/>
  <c r="F11" i="3" l="1"/>
  <c r="E12" i="3"/>
  <c r="P47" i="1"/>
  <c r="P44" i="1"/>
  <c r="G11" i="3" l="1"/>
  <c r="F12" i="3"/>
  <c r="H11" i="3" l="1"/>
  <c r="G12" i="3"/>
  <c r="I11" i="3" l="1"/>
  <c r="H12" i="3"/>
  <c r="H13" i="3"/>
  <c r="G13" i="3"/>
  <c r="F13" i="3"/>
  <c r="E13" i="3"/>
  <c r="D13" i="3"/>
  <c r="D14" i="3"/>
  <c r="P10" i="3"/>
  <c r="C3" i="3"/>
  <c r="P88" i="1"/>
  <c r="P4" i="1" s="1"/>
  <c r="P9" i="1"/>
  <c r="J11" i="3" l="1"/>
  <c r="I12" i="3"/>
  <c r="F14" i="3"/>
  <c r="E14" i="3"/>
  <c r="G14" i="3"/>
  <c r="H14" i="3"/>
  <c r="I13" i="3"/>
  <c r="K11" i="3" l="1"/>
  <c r="J12" i="3"/>
  <c r="I14" i="3"/>
  <c r="J13" i="3"/>
  <c r="L11" i="3" l="1"/>
  <c r="K12" i="3"/>
  <c r="J14" i="3"/>
  <c r="K13" i="3"/>
  <c r="M11" i="3" l="1"/>
  <c r="L12" i="3"/>
  <c r="K14" i="3"/>
  <c r="L13" i="3"/>
  <c r="N11" i="3" l="1"/>
  <c r="M12" i="3"/>
  <c r="L14" i="3"/>
  <c r="M13" i="3"/>
  <c r="O11" i="3" l="1"/>
  <c r="O12" i="3" s="1"/>
  <c r="N12" i="3"/>
  <c r="M14" i="3"/>
  <c r="N13" i="3"/>
  <c r="P11" i="3" l="1"/>
  <c r="N14" i="3"/>
  <c r="O13" i="3"/>
  <c r="P13" i="3" s="1"/>
  <c r="P9" i="3"/>
  <c r="P12" i="3" l="1"/>
  <c r="O14" i="3" l="1"/>
  <c r="P14" i="3" s="1"/>
  <c r="P15" i="3" l="1"/>
  <c r="N25" i="1" l="1"/>
  <c r="P14" i="1" s="1"/>
  <c r="P38" i="1" l="1"/>
  <c r="N40" i="1" s="1"/>
  <c r="P39" i="1" l="1"/>
  <c r="P43" i="1" s="1"/>
  <c r="P46" i="1" s="1"/>
  <c r="P83" i="1" s="1"/>
  <c r="O108" i="1" l="1"/>
  <c r="F108" i="1"/>
  <c r="C98" i="1"/>
  <c r="C99" i="1" s="1"/>
  <c r="L99" i="1"/>
  <c r="L98" i="1"/>
  <c r="G114" i="1"/>
  <c r="G110" i="1"/>
  <c r="P114" i="1"/>
  <c r="P110" i="1"/>
  <c r="P111" i="1" s="1"/>
  <c r="C100" i="1" l="1"/>
  <c r="C101" i="1" s="1"/>
  <c r="L100" i="1"/>
  <c r="L101" i="1" s="1"/>
  <c r="G111" i="1"/>
  <c r="G112" i="1" s="1"/>
  <c r="G98" i="1"/>
  <c r="P99" i="1"/>
  <c r="P98" i="1"/>
  <c r="C102" i="1" l="1"/>
  <c r="C103" i="1" s="1"/>
  <c r="P112" i="1"/>
  <c r="P113" i="1" s="1"/>
  <c r="G113" i="1"/>
  <c r="G99" i="1"/>
  <c r="P100" i="1"/>
  <c r="G100" i="1"/>
  <c r="C104" i="1" l="1"/>
  <c r="P101" i="1"/>
  <c r="P105" i="1" s="1"/>
  <c r="G101" i="1"/>
  <c r="P106" i="1" l="1"/>
  <c r="P108" i="1" s="1"/>
  <c r="G103" i="1"/>
  <c r="L105" i="1"/>
  <c r="G102" i="1"/>
  <c r="P107" i="1" l="1"/>
  <c r="P109" i="1" s="1"/>
  <c r="P115" i="1" l="1"/>
  <c r="Q116" i="1" s="1"/>
  <c r="Q117" i="1" s="1"/>
  <c r="Q118" i="1" s="1"/>
  <c r="Q119" i="1" s="1"/>
  <c r="C105" i="1"/>
  <c r="G104" i="1"/>
  <c r="G105" i="1" l="1"/>
  <c r="G106" i="1" s="1"/>
  <c r="G108" i="1" l="1"/>
  <c r="G107" i="1"/>
  <c r="G109" i="1" l="1"/>
  <c r="G115" i="1" s="1"/>
  <c r="H116" i="1" s="1"/>
  <c r="H117" i="1" s="1"/>
  <c r="H118" i="1" s="1"/>
  <c r="H119" i="1" s="1"/>
  <c r="P84" i="1" s="1"/>
  <c r="P87" i="1" s="1"/>
  <c r="P3" i="1" l="1"/>
  <c r="P5" i="1" s="1"/>
  <c r="P6" i="1" s="1"/>
  <c r="P95" i="1"/>
</calcChain>
</file>

<file path=xl/sharedStrings.xml><?xml version="1.0" encoding="utf-8"?>
<sst xmlns="http://schemas.openxmlformats.org/spreadsheetml/2006/main" count="329" uniqueCount="202">
  <si>
    <t>CHAITANYA PROJECTS CONSULTANCY PVT. LTD.</t>
  </si>
  <si>
    <t>Financial Year:</t>
  </si>
  <si>
    <t>Male</t>
  </si>
  <si>
    <t>Declared Value</t>
  </si>
  <si>
    <t>S.No</t>
  </si>
  <si>
    <t>Particulars</t>
  </si>
  <si>
    <t>Amount</t>
  </si>
  <si>
    <t>1.</t>
  </si>
  <si>
    <t>Gross Salary</t>
  </si>
  <si>
    <t/>
  </si>
  <si>
    <t>Salary as per provisions contained in Sec 17(1)</t>
  </si>
  <si>
    <t>Value of Perquisites u/s 17(2) (as per Form 12BA)</t>
  </si>
  <si>
    <t>Profits in lieu of Salary u/s 17(3) (as per Form 12BA)</t>
  </si>
  <si>
    <t>2.</t>
  </si>
  <si>
    <t>Less: Allowance to the extent exempted U/s 10</t>
  </si>
  <si>
    <t>Allowance For Transport Employee</t>
  </si>
  <si>
    <t>Border/Remote Area Allowance</t>
  </si>
  <si>
    <t>Children Education Allowance</t>
  </si>
  <si>
    <t>Children Hostel Expenditure Allowance</t>
  </si>
  <si>
    <t>Counter Insurgency Allowance</t>
  </si>
  <si>
    <t>Field Area Allowance</t>
  </si>
  <si>
    <t>Gratuity</t>
  </si>
  <si>
    <t>High Altitude Allowance</t>
  </si>
  <si>
    <t>Highly Active Field Area Allowance</t>
  </si>
  <si>
    <t>Hill Area Compensatory Allowance</t>
  </si>
  <si>
    <t>House Rent Allowance</t>
  </si>
  <si>
    <t>Island Duty Allowance</t>
  </si>
  <si>
    <t>Leave Encashment on Retirement</t>
  </si>
  <si>
    <t>Leave Travel Assistance</t>
  </si>
  <si>
    <t>Medical Reimbursement</t>
  </si>
  <si>
    <t>Mining/Underground Allowance</t>
  </si>
  <si>
    <t>Modified Field Area Allowance</t>
  </si>
  <si>
    <t>Other Earnings/Allowances (Fully Exempt)</t>
  </si>
  <si>
    <t>Other Earnings/Allowances (User Defined)</t>
  </si>
  <si>
    <t>Retrenchment Compensation</t>
  </si>
  <si>
    <t>Transport Allowance</t>
  </si>
  <si>
    <t>Tribal Or Scheduled Area Allowance</t>
  </si>
  <si>
    <t>Voluntary Retirement Compensation</t>
  </si>
  <si>
    <t>3.</t>
  </si>
  <si>
    <t>Balance (1 - 2)</t>
  </si>
  <si>
    <t>4.</t>
  </si>
  <si>
    <t>Deductions U/s 16</t>
  </si>
  <si>
    <t>Standard Deduction</t>
  </si>
  <si>
    <t>Entertainment Allowance</t>
  </si>
  <si>
    <t>Professional Tax (Tax on Employment)</t>
  </si>
  <si>
    <t>5.</t>
  </si>
  <si>
    <t>Total Income from Salary (3 - 4)</t>
  </si>
  <si>
    <t>6.</t>
  </si>
  <si>
    <t>Add: Other Income declared by Employee</t>
  </si>
  <si>
    <t>7.</t>
  </si>
  <si>
    <t>Gross Total Income (5 + 6)</t>
  </si>
  <si>
    <t>8.</t>
  </si>
  <si>
    <t>Deductions under Chapter VI-A</t>
  </si>
  <si>
    <t>Investments (U/s 80C, 80CCF, 80CCG, etc.)</t>
  </si>
  <si>
    <t>Others (U/s 80D, 80DD, 80E, etc.)</t>
  </si>
  <si>
    <t>9.</t>
  </si>
  <si>
    <t>Total Income chargeable to Tax (7 - 8)</t>
  </si>
  <si>
    <t>10.</t>
  </si>
  <si>
    <t>Tax on Total Income</t>
  </si>
  <si>
    <t>11.</t>
  </si>
  <si>
    <t>Less: Relief</t>
  </si>
  <si>
    <t>Relief (U/s 89,90 &amp; 91)</t>
  </si>
  <si>
    <t>12.</t>
  </si>
  <si>
    <t>Tax payable after Relief (10 - 11)</t>
  </si>
  <si>
    <t>13.</t>
  </si>
  <si>
    <t>Less: Tax Deducted</t>
  </si>
  <si>
    <t>a) Advance tax declared by employee</t>
  </si>
  <si>
    <t>b) Tax deducted by the previous employer</t>
  </si>
  <si>
    <t>c) Tax Deducted other than Salary</t>
  </si>
  <si>
    <t>d) Tax paid by the Employer</t>
  </si>
  <si>
    <t>e) Self Assessment Tax declared by Employee</t>
  </si>
  <si>
    <t>f) Tax deducted till date</t>
  </si>
  <si>
    <t>Balance Tax Payable/ Deductible (12 - 13)</t>
  </si>
  <si>
    <t>Employee No.</t>
  </si>
  <si>
    <t>Date of joining</t>
  </si>
  <si>
    <t>Tax Regime</t>
  </si>
  <si>
    <t>Income Tax Computation for</t>
  </si>
  <si>
    <t>:</t>
  </si>
  <si>
    <t>PAN Number</t>
  </si>
  <si>
    <t>Computed based on</t>
  </si>
  <si>
    <t>Assessment Year</t>
  </si>
  <si>
    <t>Total Income Tax</t>
  </si>
  <si>
    <t>Balance Deductible</t>
  </si>
  <si>
    <t>P a r t I c u l a r s</t>
  </si>
  <si>
    <t>Tax Deducted by Previous Employer</t>
  </si>
  <si>
    <t>S. No.</t>
  </si>
  <si>
    <t>Employee Name</t>
  </si>
  <si>
    <t>Employee 
Number</t>
  </si>
  <si>
    <t>Date of Joining</t>
  </si>
  <si>
    <t>Tax Deduction Account Number (TAN) of the Deductor</t>
  </si>
  <si>
    <t>Name and address of the 
Employer</t>
  </si>
  <si>
    <t>Income Chargeable
under the head
Salaries</t>
  </si>
  <si>
    <t>Deduction under
Chapter VI-A</t>
  </si>
  <si>
    <t>Tax Payable
(incl. Education cess)</t>
  </si>
  <si>
    <t>Total Tax Deducted</t>
  </si>
  <si>
    <t>Tax
Payable/Refundable</t>
  </si>
  <si>
    <t>DHANANJAY KUMAR MISHRA</t>
  </si>
  <si>
    <t>BFTPM2601G</t>
  </si>
  <si>
    <t>DELC07952A</t>
  </si>
  <si>
    <t>Interest on Housing Loan - Self Occupied</t>
  </si>
  <si>
    <t>Employee Provident Fund (EPF)</t>
  </si>
  <si>
    <t>Contribution to Certain Pension Funds</t>
  </si>
  <si>
    <t>Contribution to Notified Pension Scheme</t>
  </si>
  <si>
    <t>Deposit in Housing Board/Bank</t>
  </si>
  <si>
    <t>Employee Contribution to NPS 80CCD(1B)</t>
  </si>
  <si>
    <t>Housing Loan Repayment (Principal)</t>
  </si>
  <si>
    <t>Insurance Premium</t>
  </si>
  <si>
    <t>Long-Term Infrastructure Bonds</t>
  </si>
  <si>
    <t>National Saving Scheme/Certificate</t>
  </si>
  <si>
    <t>Other Eligible Investment</t>
  </si>
  <si>
    <t>Other Mutual Fund</t>
  </si>
  <si>
    <t>Pension Fund/Scheme</t>
  </si>
  <si>
    <t>Public Provident Fund (PPF)</t>
  </si>
  <si>
    <t>Rajiv Gandhi Equity Saving Scheme (RGESS)</t>
  </si>
  <si>
    <t>Sukanya Samriddhi Account Scheme</t>
  </si>
  <si>
    <t>Term Deposit with Scheduled Bank</t>
  </si>
  <si>
    <t>Tuition Fees</t>
  </si>
  <si>
    <t>Contributions to Political Parties Or Electoral Trust</t>
  </si>
  <si>
    <t>Donation for Scientific Research Or Rural Devlp</t>
  </si>
  <si>
    <t>Donations</t>
  </si>
  <si>
    <t>Expenditure for Medical Treatment for Handicapped Dependent</t>
  </si>
  <si>
    <t>Expenditure for Specified Disease</t>
  </si>
  <si>
    <t>Income From Royalty on Patents</t>
  </si>
  <si>
    <t>Interest on Housing Loan</t>
  </si>
  <si>
    <t>Interest on Loan Taken for Certain House Property</t>
  </si>
  <si>
    <t>Interest on Loan Taken for the Purchase of Electric Vehicle</t>
  </si>
  <si>
    <t>Interest on Savings Bank Account</t>
  </si>
  <si>
    <t>Mediclaim Insurance</t>
  </si>
  <si>
    <t>Mediclaim Insurance (Dependent)</t>
  </si>
  <si>
    <t>Payment of Interest on Higher Educational Loan</t>
  </si>
  <si>
    <t>Person with Disability</t>
  </si>
  <si>
    <t>Rent Paid But Not in Receipt of HRA</t>
  </si>
  <si>
    <t>80GGC</t>
  </si>
  <si>
    <t>80GGA</t>
  </si>
  <si>
    <t>80G</t>
  </si>
  <si>
    <t>80DD</t>
  </si>
  <si>
    <t>80DDB</t>
  </si>
  <si>
    <t>80RRB</t>
  </si>
  <si>
    <t>80EE</t>
  </si>
  <si>
    <t>80EEA</t>
  </si>
  <si>
    <t>80EEB</t>
  </si>
  <si>
    <t>80TTA</t>
  </si>
  <si>
    <t>80D</t>
  </si>
  <si>
    <t>80E</t>
  </si>
  <si>
    <t>80U</t>
  </si>
  <si>
    <t>80GG</t>
  </si>
  <si>
    <t>80CCC</t>
  </si>
  <si>
    <t>80CCD</t>
  </si>
  <si>
    <t>80C</t>
  </si>
  <si>
    <t>80CCD(1B)</t>
  </si>
  <si>
    <t>80CCF</t>
  </si>
  <si>
    <t>80CCG</t>
  </si>
  <si>
    <t>Others</t>
  </si>
  <si>
    <t>Basic Salary</t>
  </si>
  <si>
    <t>HRA Received</t>
  </si>
  <si>
    <t>Total</t>
  </si>
  <si>
    <t xml:space="preserve">Rent Paid </t>
  </si>
  <si>
    <t>Rent Paid - 10% of Baisc Salary</t>
  </si>
  <si>
    <t>Metro &amp; Non Metro Percentage of Basic Salary</t>
  </si>
  <si>
    <t>PAN No.</t>
  </si>
  <si>
    <t>Financial Year</t>
  </si>
  <si>
    <t>Tax Amount</t>
  </si>
  <si>
    <t>Rate</t>
  </si>
  <si>
    <t>Taxable Amount</t>
  </si>
  <si>
    <t>Income Tax</t>
  </si>
  <si>
    <t>Tax and Surcharge</t>
  </si>
  <si>
    <t>Add: Health and Education Cess</t>
  </si>
  <si>
    <t>Total Tax after Cess</t>
  </si>
  <si>
    <t>Less: Tax Rebate U/s 87A</t>
  </si>
  <si>
    <t>Senior Citizen</t>
  </si>
  <si>
    <t>Less: Deducted till</t>
  </si>
  <si>
    <t>Tax Per Month from</t>
  </si>
  <si>
    <t>Computed upto month of</t>
  </si>
  <si>
    <t>Tax Calculation Regular "Old" Tax Regime"</t>
  </si>
  <si>
    <t>Tax Calculation "New" Tax Regime"</t>
  </si>
  <si>
    <t>HRA Exemption</t>
  </si>
  <si>
    <r>
      <t xml:space="preserve">Salary as per provisions contained in Sec 17(1), </t>
    </r>
    <r>
      <rPr>
        <i/>
        <sz val="9"/>
        <color rgb="FF00B050"/>
        <rFont val="Arial"/>
        <family val="2"/>
      </rPr>
      <t>(Income from Previous Employer)</t>
    </r>
  </si>
  <si>
    <r>
      <t xml:space="preserve">Date of Birth </t>
    </r>
    <r>
      <rPr>
        <sz val="9"/>
        <color rgb="FFFF0000"/>
        <rFont val="Arial"/>
        <family val="2"/>
      </rPr>
      <t>*</t>
    </r>
  </si>
  <si>
    <r>
      <t xml:space="preserve">Gender </t>
    </r>
    <r>
      <rPr>
        <sz val="9"/>
        <color rgb="FFFF0000"/>
        <rFont val="Arial"/>
        <family val="2"/>
      </rPr>
      <t>*</t>
    </r>
  </si>
  <si>
    <r>
      <t xml:space="preserve">HRA Applicable </t>
    </r>
    <r>
      <rPr>
        <sz val="11"/>
        <color rgb="FFFF0000"/>
        <rFont val="Calibri"/>
        <family val="2"/>
        <scheme val="minor"/>
      </rPr>
      <t>*</t>
    </r>
  </si>
  <si>
    <t>New Tax Regime</t>
  </si>
  <si>
    <t>Employer Contribution to NPS</t>
  </si>
  <si>
    <t>80CCD(2)</t>
  </si>
  <si>
    <t>No</t>
  </si>
  <si>
    <t>1-Apr-25 to 31-Mar-26</t>
  </si>
  <si>
    <t>Apr</t>
  </si>
  <si>
    <t>2025</t>
  </si>
  <si>
    <t>Mar - 2026</t>
  </si>
  <si>
    <t>2026 - 2027</t>
  </si>
  <si>
    <t>2025-2026</t>
  </si>
  <si>
    <t>Surcharge</t>
  </si>
  <si>
    <t>Tax After Surcharge</t>
  </si>
  <si>
    <t>Threshold Income</t>
  </si>
  <si>
    <t>Income Tax on Threshold Income</t>
  </si>
  <si>
    <t>Surcharge on Threshold Tax</t>
  </si>
  <si>
    <t>Threshold Total Tax</t>
  </si>
  <si>
    <t>Excess Income</t>
  </si>
  <si>
    <t>Marginal Relief</t>
  </si>
  <si>
    <t>Add: Net Surcharge</t>
  </si>
  <si>
    <t>ABC</t>
  </si>
  <si>
    <t>12345</t>
  </si>
  <si>
    <t>ABCPM1234G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</si>
</sst>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m/yyyy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B0F0"/>
      <name val="Arial"/>
      <family val="2"/>
    </font>
    <font>
      <b/>
      <sz val="9"/>
      <color rgb="FFFF0000"/>
      <name val="Arial"/>
      <family val="2"/>
    </font>
    <font>
      <i/>
      <sz val="9"/>
      <color rgb="FF00B05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2" tint="-9.9978637043366805E-2"/>
      </bottom>
      <diagonal/>
    </border>
    <border>
      <left style="thin">
        <color theme="0" tint="-0.14999847407452621"/>
      </left>
      <right/>
      <top style="thin">
        <color theme="2" tint="-9.9978637043366805E-2"/>
      </top>
      <bottom/>
      <diagonal/>
    </border>
    <border>
      <left/>
      <right style="thin">
        <color theme="0" tint="-0.14999847407452621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1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165" fontId="0" fillId="0" borderId="1" xfId="1" applyNumberFormat="1" applyFont="1" applyBorder="1" applyAlignment="1" applyProtection="1">
      <alignment vertical="center"/>
      <protection locked="0"/>
    </xf>
    <xf numFmtId="9" fontId="0" fillId="0" borderId="1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9" fontId="13" fillId="0" borderId="9" xfId="0" applyNumberFormat="1" applyFont="1" applyBorder="1" applyAlignment="1" applyProtection="1">
      <alignment horizontal="left" vertical="center" indent="9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22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vertical="center"/>
      <protection hidden="1"/>
    </xf>
    <xf numFmtId="49" fontId="1" fillId="0" borderId="22" xfId="0" applyNumberFormat="1" applyFont="1" applyBorder="1" applyAlignment="1" applyProtection="1">
      <alignment vertical="center"/>
      <protection hidden="1"/>
    </xf>
    <xf numFmtId="49" fontId="1" fillId="0" borderId="8" xfId="0" applyNumberFormat="1" applyFont="1" applyBorder="1" applyAlignment="1" applyProtection="1">
      <alignment vertical="center"/>
      <protection hidden="1"/>
    </xf>
    <xf numFmtId="49" fontId="2" fillId="0" borderId="22" xfId="0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164" fontId="12" fillId="0" borderId="8" xfId="0" applyNumberFormat="1" applyFont="1" applyBorder="1" applyAlignment="1" applyProtection="1">
      <alignment horizontal="left" vertical="center"/>
      <protection hidden="1"/>
    </xf>
    <xf numFmtId="49" fontId="2" fillId="0" borderId="11" xfId="0" applyNumberFormat="1" applyFont="1" applyBorder="1" applyAlignment="1" applyProtection="1">
      <alignment horizontal="center" vertical="center"/>
      <protection hidden="1"/>
    </xf>
    <xf numFmtId="49" fontId="2" fillId="0" borderId="15" xfId="0" applyNumberFormat="1" applyFont="1" applyBorder="1" applyAlignment="1" applyProtection="1">
      <alignment horizontal="right" vertical="center"/>
      <protection hidden="1"/>
    </xf>
    <xf numFmtId="49" fontId="2" fillId="0" borderId="15" xfId="0" applyNumberFormat="1" applyFont="1" applyBorder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49" fontId="3" fillId="0" borderId="9" xfId="0" applyNumberFormat="1" applyFont="1" applyBorder="1" applyAlignment="1" applyProtection="1">
      <alignment horizontal="center" vertical="center"/>
      <protection hidden="1"/>
    </xf>
    <xf numFmtId="49" fontId="8" fillId="0" borderId="6" xfId="0" applyNumberFormat="1" applyFont="1" applyBorder="1" applyAlignment="1" applyProtection="1">
      <alignment horizontal="center" vertical="center"/>
      <protection hidden="1"/>
    </xf>
    <xf numFmtId="49" fontId="2" fillId="0" borderId="17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9" fontId="0" fillId="0" borderId="9" xfId="0" applyNumberFormat="1" applyBorder="1" applyAlignment="1" applyProtection="1">
      <alignment horizontal="center" vertical="center"/>
      <protection hidden="1"/>
    </xf>
    <xf numFmtId="165" fontId="0" fillId="0" borderId="9" xfId="1" applyNumberFormat="1" applyFont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165" fontId="6" fillId="0" borderId="9" xfId="1" applyNumberFormat="1" applyFont="1" applyBorder="1" applyAlignment="1" applyProtection="1">
      <alignment vertical="center"/>
      <protection hidden="1"/>
    </xf>
    <xf numFmtId="165" fontId="6" fillId="0" borderId="9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3" fillId="0" borderId="0" xfId="0" applyNumberFormat="1" applyFont="1" applyAlignment="1" applyProtection="1">
      <alignment horizontal="left" vertical="center" indent="4"/>
      <protection hidden="1"/>
    </xf>
    <xf numFmtId="49" fontId="8" fillId="0" borderId="0" xfId="0" applyNumberFormat="1" applyFont="1" applyAlignment="1" applyProtection="1">
      <alignment horizontal="left" vertical="center" indent="4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2" fillId="0" borderId="13" xfId="0" applyNumberFormat="1" applyFont="1" applyBorder="1" applyAlignment="1" applyProtection="1">
      <alignment horizontal="left" vertical="center"/>
      <protection hidden="1"/>
    </xf>
    <xf numFmtId="49" fontId="2" fillId="0" borderId="2" xfId="0" applyNumberFormat="1" applyFont="1" applyBorder="1" applyAlignment="1" applyProtection="1">
      <alignment horizontal="left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49" fontId="1" fillId="0" borderId="0" xfId="0" applyNumberFormat="1" applyFont="1" applyAlignment="1" applyProtection="1">
      <alignment horizontal="left" vertical="center"/>
      <protection hidden="1"/>
    </xf>
    <xf numFmtId="49" fontId="6" fillId="0" borderId="0" xfId="0" applyNumberFormat="1" applyFont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165" fontId="6" fillId="0" borderId="1" xfId="1" applyNumberFormat="1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65" fontId="0" fillId="0" borderId="1" xfId="1" applyNumberFormat="1" applyFont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165" fontId="0" fillId="0" borderId="8" xfId="1" applyNumberFormat="1" applyFont="1" applyBorder="1" applyAlignment="1" applyProtection="1">
      <alignment vertical="center"/>
      <protection hidden="1"/>
    </xf>
    <xf numFmtId="165" fontId="10" fillId="0" borderId="1" xfId="1" applyNumberFormat="1" applyFont="1" applyBorder="1" applyAlignment="1" applyProtection="1">
      <alignment vertical="center"/>
      <protection hidden="1"/>
    </xf>
    <xf numFmtId="165" fontId="1" fillId="0" borderId="16" xfId="1" applyNumberFormat="1" applyFont="1" applyBorder="1" applyAlignment="1" applyProtection="1">
      <alignment horizontal="right" vertical="center"/>
      <protection hidden="1"/>
    </xf>
    <xf numFmtId="9" fontId="0" fillId="0" borderId="9" xfId="2" applyFont="1" applyBorder="1" applyAlignment="1" applyProtection="1">
      <alignment horizontal="center" vertical="center"/>
      <protection hidden="1"/>
    </xf>
    <xf numFmtId="9" fontId="0" fillId="0" borderId="29" xfId="2" applyFont="1" applyBorder="1" applyAlignment="1" applyProtection="1">
      <alignment horizontal="center" vertical="center"/>
      <protection hidden="1"/>
    </xf>
    <xf numFmtId="17" fontId="6" fillId="0" borderId="1" xfId="0" applyNumberFormat="1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left" vertical="center" indent="4"/>
      <protection hidden="1"/>
    </xf>
    <xf numFmtId="0" fontId="0" fillId="0" borderId="0" xfId="0" applyAlignment="1" applyProtection="1">
      <alignment vertical="center"/>
      <protection locked="0"/>
    </xf>
    <xf numFmtId="165" fontId="6" fillId="0" borderId="1" xfId="1" applyNumberFormat="1" applyFont="1" applyBorder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165" fontId="0" fillId="0" borderId="0" xfId="1" applyNumberFormat="1" applyFont="1" applyAlignment="1" applyProtection="1">
      <alignment vertical="center"/>
      <protection locked="0"/>
    </xf>
    <xf numFmtId="165" fontId="0" fillId="0" borderId="0" xfId="1" applyNumberFormat="1" applyFont="1" applyBorder="1" applyAlignment="1" applyProtection="1">
      <alignment vertical="center"/>
      <protection locked="0"/>
    </xf>
    <xf numFmtId="43" fontId="0" fillId="0" borderId="0" xfId="1" applyFont="1" applyBorder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  <xf numFmtId="165" fontId="0" fillId="0" borderId="0" xfId="1" applyNumberFormat="1" applyFont="1" applyProtection="1">
      <protection locked="0"/>
    </xf>
    <xf numFmtId="49" fontId="1" fillId="0" borderId="2" xfId="0" applyNumberFormat="1" applyFont="1" applyBorder="1" applyAlignment="1" applyProtection="1">
      <alignment vertical="center"/>
      <protection hidden="1"/>
    </xf>
    <xf numFmtId="49" fontId="3" fillId="0" borderId="6" xfId="0" applyNumberFormat="1" applyFont="1" applyBorder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165" fontId="1" fillId="0" borderId="0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 applyProtection="1">
      <protection locked="0"/>
    </xf>
    <xf numFmtId="165" fontId="6" fillId="0" borderId="9" xfId="0" applyNumberFormat="1" applyFont="1" applyBorder="1" applyAlignment="1" applyProtection="1">
      <alignment horizontal="left" vertical="center"/>
      <protection hidden="1"/>
    </xf>
    <xf numFmtId="165" fontId="6" fillId="0" borderId="32" xfId="0" applyNumberFormat="1" applyFont="1" applyBorder="1" applyAlignment="1" applyProtection="1">
      <alignment horizontal="left" vertical="center"/>
      <protection hidden="1"/>
    </xf>
    <xf numFmtId="165" fontId="0" fillId="0" borderId="32" xfId="0" applyNumberFormat="1" applyBorder="1" applyAlignment="1" applyProtection="1">
      <alignment horizontal="left" vertical="center"/>
      <protection hidden="1"/>
    </xf>
    <xf numFmtId="0" fontId="0" fillId="0" borderId="9" xfId="0" applyBorder="1" applyAlignment="1" applyProtection="1">
      <alignment horizontal="left" vertical="center"/>
      <protection hidden="1"/>
    </xf>
    <xf numFmtId="165" fontId="0" fillId="0" borderId="27" xfId="1" applyNumberFormat="1" applyFont="1" applyBorder="1" applyAlignment="1" applyProtection="1">
      <alignment horizontal="center" vertical="center"/>
      <protection hidden="1"/>
    </xf>
    <xf numFmtId="165" fontId="0" fillId="0" borderId="28" xfId="1" applyNumberFormat="1" applyFont="1" applyBorder="1" applyAlignment="1" applyProtection="1">
      <alignment horizontal="center" vertical="center"/>
      <protection hidden="1"/>
    </xf>
    <xf numFmtId="165" fontId="0" fillId="0" borderId="29" xfId="1" applyNumberFormat="1" applyFont="1" applyBorder="1" applyAlignment="1" applyProtection="1">
      <alignment horizontal="center" vertical="center"/>
      <protection hidden="1"/>
    </xf>
    <xf numFmtId="165" fontId="0" fillId="0" borderId="9" xfId="1" applyNumberFormat="1" applyFont="1" applyBorder="1" applyAlignment="1" applyProtection="1">
      <alignment horizontal="center" vertical="center"/>
      <protection hidden="1"/>
    </xf>
    <xf numFmtId="165" fontId="6" fillId="0" borderId="9" xfId="0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49" fontId="4" fillId="0" borderId="5" xfId="0" applyNumberFormat="1" applyFont="1" applyBorder="1" applyAlignment="1" applyProtection="1">
      <alignment horizontal="left" vertical="center" indent="4"/>
      <protection hidden="1"/>
    </xf>
    <xf numFmtId="49" fontId="4" fillId="0" borderId="0" xfId="0" applyNumberFormat="1" applyFont="1" applyAlignment="1" applyProtection="1">
      <alignment horizontal="left" vertical="center" indent="4"/>
      <protection hidden="1"/>
    </xf>
    <xf numFmtId="49" fontId="3" fillId="0" borderId="5" xfId="0" applyNumberFormat="1" applyFont="1" applyBorder="1" applyAlignment="1" applyProtection="1">
      <alignment horizontal="left" vertical="center" indent="4"/>
      <protection hidden="1"/>
    </xf>
    <xf numFmtId="49" fontId="3" fillId="0" borderId="0" xfId="0" applyNumberFormat="1" applyFont="1" applyAlignment="1" applyProtection="1">
      <alignment horizontal="left" vertical="center" indent="4"/>
      <protection hidden="1"/>
    </xf>
    <xf numFmtId="49" fontId="8" fillId="0" borderId="5" xfId="0" applyNumberFormat="1" applyFont="1" applyBorder="1" applyAlignment="1" applyProtection="1">
      <alignment horizontal="left" vertical="center" indent="4"/>
      <protection hidden="1"/>
    </xf>
    <xf numFmtId="49" fontId="8" fillId="0" borderId="0" xfId="0" applyNumberFormat="1" applyFont="1" applyAlignment="1" applyProtection="1">
      <alignment horizontal="left" vertical="center" indent="4"/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2" fillId="0" borderId="12" xfId="0" applyNumberFormat="1" applyFont="1" applyBorder="1" applyAlignment="1" applyProtection="1">
      <alignment horizontal="left" vertical="center"/>
      <protection hidden="1"/>
    </xf>
    <xf numFmtId="49" fontId="2" fillId="0" borderId="13" xfId="0" applyNumberFormat="1" applyFont="1" applyBorder="1" applyAlignment="1" applyProtection="1">
      <alignment horizontal="left" vertical="center"/>
      <protection hidden="1"/>
    </xf>
    <xf numFmtId="49" fontId="2" fillId="0" borderId="3" xfId="0" applyNumberFormat="1" applyFont="1" applyBorder="1" applyAlignment="1" applyProtection="1">
      <alignment horizontal="left" vertical="center"/>
      <protection hidden="1"/>
    </xf>
    <xf numFmtId="49" fontId="2" fillId="0" borderId="2" xfId="0" applyNumberFormat="1" applyFont="1" applyBorder="1" applyAlignment="1" applyProtection="1">
      <alignment horizontal="left" vertical="center"/>
      <protection hidden="1"/>
    </xf>
    <xf numFmtId="49" fontId="2" fillId="0" borderId="13" xfId="0" applyNumberFormat="1" applyFont="1" applyBorder="1" applyAlignment="1" applyProtection="1">
      <alignment horizontal="center" vertical="center"/>
      <protection hidden="1"/>
    </xf>
    <xf numFmtId="49" fontId="2" fillId="0" borderId="5" xfId="0" applyNumberFormat="1" applyFont="1" applyBorder="1" applyAlignment="1" applyProtection="1">
      <alignment horizontal="left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49" fontId="1" fillId="0" borderId="23" xfId="0" applyNumberFormat="1" applyFont="1" applyBorder="1" applyAlignment="1" applyProtection="1">
      <alignment horizontal="left" vertical="center"/>
      <protection hidden="1"/>
    </xf>
    <xf numFmtId="49" fontId="1" fillId="0" borderId="0" xfId="0" applyNumberFormat="1" applyFont="1" applyAlignment="1" applyProtection="1">
      <alignment horizontal="left" vertical="center"/>
      <protection hidden="1"/>
    </xf>
    <xf numFmtId="49" fontId="1" fillId="0" borderId="24" xfId="0" applyNumberFormat="1" applyFont="1" applyBorder="1" applyAlignment="1" applyProtection="1">
      <alignment horizontal="left" vertical="center"/>
      <protection hidden="1"/>
    </xf>
    <xf numFmtId="49" fontId="1" fillId="0" borderId="8" xfId="0" applyNumberFormat="1" applyFont="1" applyBorder="1" applyAlignment="1" applyProtection="1">
      <alignment horizontal="left" vertical="center"/>
      <protection hidden="1"/>
    </xf>
    <xf numFmtId="49" fontId="1" fillId="0" borderId="25" xfId="0" applyNumberFormat="1" applyFont="1" applyBorder="1" applyAlignment="1" applyProtection="1">
      <alignment horizontal="left" vertical="center"/>
      <protection hidden="1"/>
    </xf>
    <xf numFmtId="49" fontId="1" fillId="0" borderId="2" xfId="0" applyNumberFormat="1" applyFont="1" applyBorder="1" applyAlignment="1" applyProtection="1">
      <alignment horizontal="left" vertical="center"/>
      <protection hidden="1"/>
    </xf>
    <xf numFmtId="49" fontId="1" fillId="0" borderId="21" xfId="0" applyNumberFormat="1" applyFont="1" applyBorder="1" applyAlignment="1" applyProtection="1">
      <alignment horizontal="left" vertical="center"/>
      <protection hidden="1"/>
    </xf>
    <xf numFmtId="49" fontId="1" fillId="0" borderId="22" xfId="0" applyNumberFormat="1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22" xfId="0" applyNumberFormat="1" applyFont="1" applyBorder="1" applyAlignment="1" applyProtection="1">
      <alignment horizontal="left" vertical="center"/>
      <protection locked="0"/>
    </xf>
    <xf numFmtId="165" fontId="1" fillId="0" borderId="5" xfId="1" applyNumberFormat="1" applyFont="1" applyBorder="1" applyAlignment="1" applyProtection="1">
      <alignment horizontal="right" vertical="center"/>
      <protection locked="0"/>
    </xf>
    <xf numFmtId="165" fontId="1" fillId="0" borderId="0" xfId="1" applyNumberFormat="1" applyFont="1" applyBorder="1" applyAlignment="1" applyProtection="1">
      <alignment horizontal="right" vertical="center"/>
      <protection locked="0"/>
    </xf>
    <xf numFmtId="165" fontId="1" fillId="0" borderId="5" xfId="1" applyNumberFormat="1" applyFont="1" applyBorder="1" applyAlignment="1" applyProtection="1">
      <alignment horizontal="right" vertical="center"/>
      <protection hidden="1"/>
    </xf>
    <xf numFmtId="165" fontId="1" fillId="0" borderId="0" xfId="1" applyNumberFormat="1" applyFont="1" applyBorder="1" applyAlignment="1" applyProtection="1">
      <alignment horizontal="right" vertical="center"/>
      <protection hidden="1"/>
    </xf>
    <xf numFmtId="165" fontId="1" fillId="0" borderId="3" xfId="1" applyNumberFormat="1" applyFont="1" applyBorder="1" applyAlignment="1" applyProtection="1">
      <alignment horizontal="right" vertical="center"/>
      <protection hidden="1"/>
    </xf>
    <xf numFmtId="165" fontId="1" fillId="0" borderId="2" xfId="1" applyNumberFormat="1" applyFont="1" applyBorder="1" applyAlignment="1" applyProtection="1">
      <alignment horizontal="right" vertical="center"/>
      <protection hidden="1"/>
    </xf>
    <xf numFmtId="49" fontId="2" fillId="0" borderId="8" xfId="0" applyNumberFormat="1" applyFont="1" applyBorder="1" applyAlignment="1" applyProtection="1">
      <alignment horizontal="left" vertical="center"/>
      <protection hidden="1"/>
    </xf>
    <xf numFmtId="49" fontId="1" fillId="0" borderId="22" xfId="0" applyNumberFormat="1" applyFont="1" applyBorder="1" applyAlignment="1" applyProtection="1">
      <alignment horizontal="left" vertical="center" indent="2"/>
      <protection hidden="1"/>
    </xf>
    <xf numFmtId="49" fontId="1" fillId="0" borderId="0" xfId="0" applyNumberFormat="1" applyFont="1" applyAlignment="1" applyProtection="1">
      <alignment horizontal="left" vertical="center" indent="2"/>
      <protection hidden="1"/>
    </xf>
    <xf numFmtId="49" fontId="1" fillId="0" borderId="8" xfId="0" applyNumberFormat="1" applyFont="1" applyBorder="1" applyAlignment="1" applyProtection="1">
      <alignment horizontal="left" vertical="center" indent="2"/>
      <protection hidden="1"/>
    </xf>
    <xf numFmtId="165" fontId="2" fillId="0" borderId="5" xfId="1" applyNumberFormat="1" applyFont="1" applyBorder="1" applyAlignment="1" applyProtection="1">
      <alignment horizontal="right" vertical="center"/>
      <protection hidden="1"/>
    </xf>
    <xf numFmtId="165" fontId="2" fillId="0" borderId="0" xfId="1" applyNumberFormat="1" applyFont="1" applyBorder="1" applyAlignment="1" applyProtection="1">
      <alignment horizontal="right" vertical="center"/>
      <protection hidden="1"/>
    </xf>
    <xf numFmtId="165" fontId="2" fillId="0" borderId="0" xfId="1" applyNumberFormat="1" applyFont="1" applyBorder="1" applyAlignment="1" applyProtection="1">
      <alignment horizontal="center" vertical="center"/>
      <protection hidden="1"/>
    </xf>
    <xf numFmtId="165" fontId="2" fillId="0" borderId="33" xfId="1" applyNumberFormat="1" applyFont="1" applyBorder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2" fillId="0" borderId="6" xfId="0" applyNumberFormat="1" applyFont="1" applyBorder="1" applyAlignment="1" applyProtection="1">
      <alignment horizontal="left" vertical="center"/>
      <protection hidden="1"/>
    </xf>
    <xf numFmtId="49" fontId="3" fillId="0" borderId="6" xfId="0" applyNumberFormat="1" applyFont="1" applyBorder="1" applyAlignment="1" applyProtection="1">
      <alignment horizontal="left" vertical="center" indent="4"/>
      <protection hidden="1"/>
    </xf>
    <xf numFmtId="49" fontId="4" fillId="0" borderId="6" xfId="0" applyNumberFormat="1" applyFont="1" applyBorder="1" applyAlignment="1" applyProtection="1">
      <alignment horizontal="left" vertical="center" indent="4"/>
      <protection hidden="1"/>
    </xf>
    <xf numFmtId="49" fontId="3" fillId="2" borderId="30" xfId="0" applyNumberFormat="1" applyFont="1" applyFill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hidden="1"/>
    </xf>
    <xf numFmtId="0" fontId="6" fillId="0" borderId="28" xfId="0" applyFont="1" applyBorder="1" applyAlignment="1" applyProtection="1">
      <alignment horizontal="left" vertical="center"/>
      <protection hidden="1"/>
    </xf>
    <xf numFmtId="0" fontId="6" fillId="0" borderId="29" xfId="0" applyFont="1" applyBorder="1" applyAlignment="1" applyProtection="1">
      <alignment horizontal="left" vertical="center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 vertical="center"/>
      <protection hidden="1"/>
    </xf>
    <xf numFmtId="0" fontId="0" fillId="0" borderId="29" xfId="0" applyBorder="1" applyAlignment="1" applyProtection="1">
      <alignment horizontal="left" vertical="center"/>
      <protection hidden="1"/>
    </xf>
    <xf numFmtId="49" fontId="2" fillId="0" borderId="10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left" vertical="center"/>
      <protection hidden="1"/>
    </xf>
    <xf numFmtId="49" fontId="2" fillId="0" borderId="19" xfId="0" applyNumberFormat="1" applyFont="1" applyBorder="1" applyAlignment="1" applyProtection="1">
      <alignment horizontal="left" vertical="center"/>
      <protection hidden="1"/>
    </xf>
    <xf numFmtId="49" fontId="2" fillId="0" borderId="20" xfId="0" applyNumberFormat="1" applyFont="1" applyBorder="1" applyAlignment="1" applyProtection="1">
      <alignment horizontal="left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165" fontId="1" fillId="0" borderId="18" xfId="1" applyNumberFormat="1" applyFont="1" applyBorder="1" applyAlignment="1" applyProtection="1">
      <alignment horizontal="right" vertical="center"/>
      <protection hidden="1"/>
    </xf>
    <xf numFmtId="165" fontId="1" fillId="0" borderId="19" xfId="1" applyNumberFormat="1" applyFont="1" applyBorder="1" applyAlignment="1" applyProtection="1">
      <alignment horizontal="right" vertical="center"/>
      <protection hidden="1"/>
    </xf>
    <xf numFmtId="165" fontId="6" fillId="0" borderId="27" xfId="1" applyNumberFormat="1" applyFont="1" applyBorder="1" applyAlignment="1" applyProtection="1">
      <alignment horizontal="center" vertical="center"/>
      <protection hidden="1"/>
    </xf>
    <xf numFmtId="165" fontId="6" fillId="0" borderId="28" xfId="1" applyNumberFormat="1" applyFont="1" applyBorder="1" applyAlignment="1" applyProtection="1">
      <alignment horizontal="center" vertical="center"/>
      <protection hidden="1"/>
    </xf>
    <xf numFmtId="165" fontId="6" fillId="0" borderId="29" xfId="1" applyNumberFormat="1" applyFont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6" fillId="0" borderId="9" xfId="1" applyNumberFormat="1" applyFont="1" applyBorder="1" applyAlignment="1" applyProtection="1">
      <alignment horizontal="left" vertical="center"/>
      <protection hidden="1"/>
    </xf>
    <xf numFmtId="49" fontId="2" fillId="0" borderId="19" xfId="0" applyNumberFormat="1" applyFont="1" applyBorder="1" applyAlignment="1" applyProtection="1">
      <alignment horizontal="right" vertical="center"/>
      <protection hidden="1"/>
    </xf>
    <xf numFmtId="165" fontId="11" fillId="0" borderId="22" xfId="1" applyNumberFormat="1" applyFont="1" applyBorder="1" applyAlignment="1" applyProtection="1">
      <alignment horizontal="center" vertical="center"/>
      <protection hidden="1"/>
    </xf>
    <xf numFmtId="165" fontId="11" fillId="0" borderId="31" xfId="1" applyNumberFormat="1" applyFont="1" applyBorder="1" applyAlignment="1" applyProtection="1">
      <alignment horizontal="center" vertical="center"/>
      <protection hidden="1"/>
    </xf>
    <xf numFmtId="165" fontId="11" fillId="0" borderId="0" xfId="1" applyNumberFormat="1" applyFont="1" applyBorder="1" applyAlignment="1" applyProtection="1">
      <alignment horizontal="center" vertical="center"/>
      <protection hidden="1"/>
    </xf>
    <xf numFmtId="165" fontId="11" fillId="0" borderId="33" xfId="1" applyNumberFormat="1" applyFont="1" applyBorder="1" applyAlignment="1" applyProtection="1">
      <alignment horizontal="center" vertical="center"/>
      <protection hidden="1"/>
    </xf>
    <xf numFmtId="165" fontId="11" fillId="0" borderId="8" xfId="1" applyNumberFormat="1" applyFont="1" applyBorder="1" applyAlignment="1" applyProtection="1">
      <alignment horizontal="center" vertical="center"/>
      <protection hidden="1"/>
    </xf>
    <xf numFmtId="165" fontId="11" fillId="0" borderId="34" xfId="1" applyNumberFormat="1" applyFont="1" applyBorder="1" applyAlignment="1" applyProtection="1">
      <alignment horizontal="center" vertical="center"/>
      <protection hidden="1"/>
    </xf>
    <xf numFmtId="49" fontId="2" fillId="0" borderId="13" xfId="0" applyNumberFormat="1" applyFont="1" applyBorder="1" applyAlignment="1" applyProtection="1">
      <alignment horizontal="right" vertical="center" indent="2"/>
      <protection hidden="1"/>
    </xf>
    <xf numFmtId="49" fontId="2" fillId="0" borderId="14" xfId="0" applyNumberFormat="1" applyFont="1" applyBorder="1" applyAlignment="1" applyProtection="1">
      <alignment horizontal="right" vertical="center" indent="2"/>
      <protection hidden="1"/>
    </xf>
    <xf numFmtId="165" fontId="2" fillId="0" borderId="2" xfId="1" applyNumberFormat="1" applyFont="1" applyBorder="1" applyAlignment="1" applyProtection="1">
      <alignment horizontal="center" vertical="center"/>
      <protection hidden="1"/>
    </xf>
    <xf numFmtId="165" fontId="2" fillId="0" borderId="26" xfId="1" applyNumberFormat="1" applyFont="1" applyBorder="1" applyAlignment="1" applyProtection="1">
      <alignment horizontal="center" vertical="center"/>
      <protection hidden="1"/>
    </xf>
    <xf numFmtId="165" fontId="1" fillId="0" borderId="0" xfId="1" applyNumberFormat="1" applyFont="1" applyBorder="1" applyAlignment="1" applyProtection="1">
      <alignment horizontal="center" vertical="center"/>
      <protection locked="0"/>
    </xf>
    <xf numFmtId="165" fontId="1" fillId="0" borderId="33" xfId="1" applyNumberFormat="1" applyFont="1" applyBorder="1" applyAlignment="1" applyProtection="1">
      <alignment horizontal="center" vertical="center"/>
      <protection locked="0"/>
    </xf>
    <xf numFmtId="165" fontId="12" fillId="0" borderId="0" xfId="1" applyNumberFormat="1" applyFont="1" applyBorder="1" applyAlignment="1" applyProtection="1">
      <alignment horizontal="center" vertical="center"/>
      <protection hidden="1"/>
    </xf>
    <xf numFmtId="165" fontId="12" fillId="0" borderId="33" xfId="1" applyNumberFormat="1" applyFont="1" applyBorder="1" applyAlignment="1" applyProtection="1">
      <alignment horizontal="center" vertical="center"/>
      <protection hidden="1"/>
    </xf>
    <xf numFmtId="165" fontId="1" fillId="0" borderId="0" xfId="1" applyNumberFormat="1" applyFont="1" applyBorder="1" applyAlignment="1" applyProtection="1">
      <alignment horizontal="center" vertical="center"/>
      <protection hidden="1"/>
    </xf>
    <xf numFmtId="165" fontId="1" fillId="0" borderId="33" xfId="1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165" fontId="6" fillId="0" borderId="27" xfId="0" applyNumberFormat="1" applyFont="1" applyBorder="1" applyAlignment="1" applyProtection="1">
      <alignment horizontal="center" vertical="center"/>
      <protection hidden="1"/>
    </xf>
    <xf numFmtId="165" fontId="6" fillId="0" borderId="29" xfId="0" applyNumberFormat="1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165" fontId="10" fillId="0" borderId="1" xfId="1" applyNumberFormat="1" applyFont="1" applyBorder="1" applyAlignment="1" applyProtection="1">
      <alignment horizontal="right" vertical="center"/>
      <protection hidden="1"/>
    </xf>
    <xf numFmtId="49" fontId="6" fillId="0" borderId="0" xfId="0" applyNumberFormat="1" applyFont="1" applyAlignment="1" applyProtection="1">
      <alignment horizontal="left" vertical="center"/>
      <protection hidden="1"/>
    </xf>
    <xf numFmtId="49" fontId="6" fillId="0" borderId="6" xfId="0" applyNumberFormat="1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49" fontId="6" fillId="0" borderId="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T119"/>
  <sheetViews>
    <sheetView tabSelected="1" view="pageBreakPreview" zoomScale="90" zoomScaleNormal="100" zoomScaleSheetLayoutView="90" workbookViewId="0">
      <selection activeCell="F123" sqref="F123"/>
    </sheetView>
  </sheetViews>
  <sheetFormatPr defaultColWidth="8.88671875" defaultRowHeight="14.4" x14ac:dyDescent="0.3"/>
  <cols>
    <col min="1" max="1" width="7.33203125" style="10" customWidth="1"/>
    <col min="2" max="2" width="15.6640625" style="10" customWidth="1"/>
    <col min="3" max="3" width="1.33203125" style="10" bestFit="1" customWidth="1"/>
    <col min="4" max="4" width="11.33203125" style="10" bestFit="1" customWidth="1"/>
    <col min="5" max="5" width="13.33203125" style="10" bestFit="1" customWidth="1"/>
    <col min="6" max="6" width="6.33203125" style="10" customWidth="1"/>
    <col min="7" max="7" width="12.44140625" style="10" bestFit="1" customWidth="1"/>
    <col min="8" max="8" width="20" style="10" bestFit="1" customWidth="1"/>
    <col min="9" max="9" width="1.33203125" style="10" bestFit="1" customWidth="1"/>
    <col min="10" max="10" width="12.6640625" style="10" customWidth="1"/>
    <col min="11" max="11" width="5.6640625" style="10" customWidth="1"/>
    <col min="12" max="12" width="24.5546875" style="10" bestFit="1" customWidth="1"/>
    <col min="13" max="13" width="10.33203125" style="10" bestFit="1" customWidth="1"/>
    <col min="14" max="14" width="4.6640625" style="10" bestFit="1" customWidth="1"/>
    <col min="15" max="15" width="9.6640625" style="10" bestFit="1" customWidth="1"/>
    <col min="16" max="16" width="12.44140625" style="10" bestFit="1" customWidth="1"/>
    <col min="17" max="17" width="19.44140625" style="10" customWidth="1"/>
    <col min="18" max="18" width="8.88671875" style="10"/>
    <col min="19" max="19" width="12.44140625" style="10" customWidth="1"/>
    <col min="20" max="20" width="13.44140625" style="10" bestFit="1" customWidth="1"/>
    <col min="21" max="16384" width="8.88671875" style="10"/>
  </cols>
  <sheetData>
    <row r="2" spans="1:20" s="66" customFormat="1" ht="19.95" customHeight="1" x14ac:dyDescent="0.3">
      <c r="A2" s="106" t="s">
        <v>76</v>
      </c>
      <c r="B2" s="106"/>
      <c r="C2" s="18" t="s">
        <v>77</v>
      </c>
      <c r="D2" s="115" t="s">
        <v>199</v>
      </c>
      <c r="E2" s="115"/>
      <c r="F2" s="115"/>
      <c r="G2" s="115"/>
      <c r="H2" s="115"/>
      <c r="I2" s="115"/>
      <c r="J2" s="115"/>
      <c r="K2" s="115"/>
      <c r="L2" s="97" t="s">
        <v>1</v>
      </c>
      <c r="M2" s="97"/>
      <c r="N2" s="97"/>
      <c r="O2" s="97"/>
      <c r="P2" s="156" t="s">
        <v>184</v>
      </c>
      <c r="Q2" s="156"/>
    </row>
    <row r="3" spans="1:20" s="66" customFormat="1" ht="19.95" customHeight="1" x14ac:dyDescent="0.3">
      <c r="A3" s="111" t="s">
        <v>73</v>
      </c>
      <c r="B3" s="112"/>
      <c r="C3" s="19" t="s">
        <v>77</v>
      </c>
      <c r="D3" s="14" t="s">
        <v>200</v>
      </c>
      <c r="E3" s="21"/>
      <c r="F3" s="124" t="s">
        <v>78</v>
      </c>
      <c r="G3" s="124"/>
      <c r="H3" s="124"/>
      <c r="I3" s="19" t="s">
        <v>77</v>
      </c>
      <c r="J3" s="116" t="s">
        <v>201</v>
      </c>
      <c r="K3" s="116"/>
      <c r="L3" s="19" t="s">
        <v>81</v>
      </c>
      <c r="M3" s="19"/>
      <c r="N3" s="19"/>
      <c r="O3" s="19" t="s">
        <v>77</v>
      </c>
      <c r="P3" s="157">
        <f ca="1">P87</f>
        <v>1138800</v>
      </c>
      <c r="Q3" s="158"/>
    </row>
    <row r="4" spans="1:20" s="66" customFormat="1" ht="19.95" customHeight="1" x14ac:dyDescent="0.3">
      <c r="A4" s="105" t="s">
        <v>178</v>
      </c>
      <c r="B4" s="106"/>
      <c r="C4" s="18" t="s">
        <v>77</v>
      </c>
      <c r="D4" s="15" t="s">
        <v>2</v>
      </c>
      <c r="E4" s="22" t="str">
        <f ca="1">IF(YEARFRAC(D6,TODAY(),0)&gt;=80,"S. S. Citizen",IF(YEARFRAC(D6,TODAY(),0)&gt;=60,"Senior Citizen",""))</f>
        <v/>
      </c>
      <c r="F4" s="125" t="s">
        <v>79</v>
      </c>
      <c r="G4" s="125"/>
      <c r="H4" s="125"/>
      <c r="I4" s="18" t="s">
        <v>77</v>
      </c>
      <c r="J4" s="104" t="s">
        <v>3</v>
      </c>
      <c r="K4" s="104"/>
      <c r="L4" s="18" t="s">
        <v>170</v>
      </c>
      <c r="M4" s="12" t="s">
        <v>185</v>
      </c>
      <c r="N4" s="13" t="s">
        <v>186</v>
      </c>
      <c r="O4" s="18" t="s">
        <v>77</v>
      </c>
      <c r="P4" s="159">
        <f>P88</f>
        <v>0</v>
      </c>
      <c r="Q4" s="160"/>
    </row>
    <row r="5" spans="1:20" s="66" customFormat="1" ht="19.95" customHeight="1" x14ac:dyDescent="0.3">
      <c r="A5" s="105" t="s">
        <v>74</v>
      </c>
      <c r="B5" s="106"/>
      <c r="C5" s="18" t="s">
        <v>77</v>
      </c>
      <c r="D5" s="16">
        <v>43313</v>
      </c>
      <c r="E5" s="23"/>
      <c r="F5" s="125" t="s">
        <v>172</v>
      </c>
      <c r="G5" s="125"/>
      <c r="H5" s="125"/>
      <c r="I5" s="18" t="s">
        <v>77</v>
      </c>
      <c r="J5" s="104" t="s">
        <v>187</v>
      </c>
      <c r="K5" s="104"/>
      <c r="L5" s="18" t="s">
        <v>82</v>
      </c>
      <c r="M5" s="45"/>
      <c r="N5" s="49"/>
      <c r="O5" s="18" t="s">
        <v>77</v>
      </c>
      <c r="P5" s="159">
        <f ca="1">P3-P4</f>
        <v>1138800</v>
      </c>
      <c r="Q5" s="160"/>
      <c r="T5" s="70"/>
    </row>
    <row r="6" spans="1:20" s="66" customFormat="1" ht="19.95" customHeight="1" x14ac:dyDescent="0.3">
      <c r="A6" s="107" t="s">
        <v>177</v>
      </c>
      <c r="B6" s="108"/>
      <c r="C6" s="20" t="s">
        <v>77</v>
      </c>
      <c r="D6" s="17">
        <v>32874</v>
      </c>
      <c r="E6" s="24"/>
      <c r="F6" s="126" t="s">
        <v>80</v>
      </c>
      <c r="G6" s="126"/>
      <c r="H6" s="126"/>
      <c r="I6" s="20" t="s">
        <v>77</v>
      </c>
      <c r="J6" s="123" t="s">
        <v>188</v>
      </c>
      <c r="K6" s="123"/>
      <c r="L6" s="20" t="s">
        <v>171</v>
      </c>
      <c r="M6" s="12" t="s">
        <v>185</v>
      </c>
      <c r="N6" s="13" t="s">
        <v>186</v>
      </c>
      <c r="O6" s="20" t="s">
        <v>77</v>
      </c>
      <c r="P6" s="161">
        <f ca="1">ROUND(IF(M6="Apr",IF(P5&gt;0,P5/12,IF(P5&lt;=0,0)),IF(M6="May",IF(P5&gt;0,P5/11,IF(P5&lt;=0,0)),IF(M6="Jun",IF(P5&gt;0,P5/10,IF(P5&lt;=0,0)),IF(M6="Jul",IF(P5&gt;0,P5/9,IF(P5&lt;=0,0)),IF(M6="Aug",IF(P5&gt;0,P5/8,IF(P5&lt;=0,0)),IF(M6="Sep",IF(P5&gt;0,P5/7,IF(P5&lt;=0,0)),IF(M6="Oct",IF(P5&gt;0,P5/6,IF(P5&lt;=0,0)),IF(M6="Nov",IF(P5&gt;0,P5/5,IF(P5&lt;=0,0)),IF(M6="Dec",IF(P5&gt;0,P5/4,IF(P5&lt;=0,0)),IF(M6="Jan",IF(P5&gt;0,P5/3,IF(P5&lt;=0,0)),IF(M6="Feb",IF(P5&gt;0,P5/2,IF(P5&lt;=0,0))))))))))))),-3)+IF(M4="Feb",IF(P5&gt;0,P5),IF(M4="Feb",IF(P5&lt;0,0)))</f>
        <v>95000</v>
      </c>
      <c r="Q6" s="162"/>
      <c r="T6" s="70"/>
    </row>
    <row r="7" spans="1:20" s="66" customFormat="1" ht="19.95" customHeight="1" x14ac:dyDescent="0.3">
      <c r="A7" s="109" t="s">
        <v>75</v>
      </c>
      <c r="B7" s="110"/>
      <c r="C7" s="76" t="s">
        <v>77</v>
      </c>
      <c r="D7" s="135" t="s">
        <v>180</v>
      </c>
      <c r="E7" s="135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1:20" s="66" customFormat="1" ht="19.95" customHeight="1" x14ac:dyDescent="0.3">
      <c r="A8" s="25" t="s">
        <v>4</v>
      </c>
      <c r="B8" s="98" t="s">
        <v>83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46"/>
      <c r="N8" s="102" t="s">
        <v>6</v>
      </c>
      <c r="O8" s="102"/>
      <c r="P8" s="163" t="s">
        <v>6</v>
      </c>
      <c r="Q8" s="164"/>
    </row>
    <row r="9" spans="1:20" s="66" customFormat="1" ht="19.95" customHeight="1" x14ac:dyDescent="0.3">
      <c r="A9" s="26" t="s">
        <v>7</v>
      </c>
      <c r="B9" s="100" t="s">
        <v>8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47"/>
      <c r="N9" s="121"/>
      <c r="O9" s="122"/>
      <c r="P9" s="165">
        <f>SUM(N10:O13)</f>
        <v>5090000</v>
      </c>
      <c r="Q9" s="166"/>
    </row>
    <row r="10" spans="1:20" s="66" customFormat="1" ht="19.95" customHeight="1" x14ac:dyDescent="0.3">
      <c r="A10" s="27" t="s">
        <v>9</v>
      </c>
      <c r="B10" s="93" t="s">
        <v>10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28"/>
      <c r="N10" s="117">
        <v>5090000</v>
      </c>
      <c r="O10" s="118"/>
      <c r="P10" s="167"/>
      <c r="Q10" s="168"/>
    </row>
    <row r="11" spans="1:20" s="66" customFormat="1" ht="19.95" customHeight="1" x14ac:dyDescent="0.3">
      <c r="A11" s="27" t="s">
        <v>9</v>
      </c>
      <c r="B11" s="93" t="s">
        <v>176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28"/>
      <c r="N11" s="117"/>
      <c r="O11" s="118"/>
      <c r="P11" s="167"/>
      <c r="Q11" s="168"/>
    </row>
    <row r="12" spans="1:20" s="66" customFormat="1" ht="19.95" customHeight="1" x14ac:dyDescent="0.3">
      <c r="A12" s="27" t="s">
        <v>9</v>
      </c>
      <c r="B12" s="93" t="s">
        <v>11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28"/>
      <c r="N12" s="117"/>
      <c r="O12" s="118"/>
      <c r="P12" s="167"/>
      <c r="Q12" s="168"/>
      <c r="T12" s="68"/>
    </row>
    <row r="13" spans="1:20" s="66" customFormat="1" ht="19.95" customHeight="1" x14ac:dyDescent="0.3">
      <c r="A13" s="27" t="s">
        <v>9</v>
      </c>
      <c r="B13" s="93" t="s">
        <v>12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28"/>
      <c r="N13" s="117"/>
      <c r="O13" s="118"/>
      <c r="P13" s="167"/>
      <c r="Q13" s="168"/>
    </row>
    <row r="14" spans="1:20" s="66" customFormat="1" ht="19.95" customHeight="1" x14ac:dyDescent="0.3">
      <c r="A14" s="26" t="s">
        <v>13</v>
      </c>
      <c r="B14" s="103" t="s">
        <v>14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48"/>
      <c r="N14" s="119"/>
      <c r="O14" s="120"/>
      <c r="P14" s="169">
        <f>IF(D7="Old Tax Regime",IF(N21&lt;=2000000,N21,IF(N21&gt;2000000,2000000))+IF(N27&lt;=2500000,N27,IF(N27&gt;2500000,2500000))+(N15+N16+N17+N18+N19+N20+N22+N23+N24+N25+N26+N28+N29+N30+N31+N32+N33+N34+N35+N36+N37),IF(D7="New Tax Regime",IF(N21&lt;=2000000,N21,IF(N21&gt;2000000,2000000))+IF(N27&lt;=2500000,N27,IF(N27&gt;2500000,2500000)+N32)))</f>
        <v>0</v>
      </c>
      <c r="Q14" s="170"/>
      <c r="S14" s="68"/>
      <c r="T14" s="71"/>
    </row>
    <row r="15" spans="1:20" s="66" customFormat="1" ht="19.95" hidden="1" customHeight="1" x14ac:dyDescent="0.3">
      <c r="A15" s="27" t="s">
        <v>9</v>
      </c>
      <c r="B15" s="91" t="s">
        <v>15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65"/>
      <c r="N15" s="119"/>
      <c r="O15" s="120"/>
      <c r="P15" s="79"/>
      <c r="Q15" s="61"/>
    </row>
    <row r="16" spans="1:20" s="66" customFormat="1" ht="19.95" hidden="1" customHeight="1" x14ac:dyDescent="0.3">
      <c r="A16" s="27" t="s">
        <v>9</v>
      </c>
      <c r="B16" s="91" t="s">
        <v>16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65"/>
      <c r="N16" s="119"/>
      <c r="O16" s="120"/>
      <c r="P16" s="79"/>
      <c r="Q16" s="61"/>
    </row>
    <row r="17" spans="1:17" s="66" customFormat="1" ht="19.95" hidden="1" customHeight="1" x14ac:dyDescent="0.3">
      <c r="A17" s="27" t="s">
        <v>9</v>
      </c>
      <c r="B17" s="91" t="s">
        <v>17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65"/>
      <c r="N17" s="119"/>
      <c r="O17" s="120"/>
      <c r="P17" s="79"/>
      <c r="Q17" s="61"/>
    </row>
    <row r="18" spans="1:17" s="66" customFormat="1" ht="19.95" hidden="1" customHeight="1" x14ac:dyDescent="0.3">
      <c r="A18" s="27" t="s">
        <v>9</v>
      </c>
      <c r="B18" s="91" t="s">
        <v>18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65"/>
      <c r="N18" s="119"/>
      <c r="O18" s="120"/>
      <c r="P18" s="79"/>
      <c r="Q18" s="61"/>
    </row>
    <row r="19" spans="1:17" s="66" customFormat="1" ht="19.95" hidden="1" customHeight="1" x14ac:dyDescent="0.3">
      <c r="A19" s="27" t="s">
        <v>9</v>
      </c>
      <c r="B19" s="91" t="s">
        <v>19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65"/>
      <c r="N19" s="119"/>
      <c r="O19" s="120"/>
      <c r="P19" s="79"/>
      <c r="Q19" s="61"/>
    </row>
    <row r="20" spans="1:17" s="66" customFormat="1" ht="19.95" hidden="1" customHeight="1" x14ac:dyDescent="0.3">
      <c r="A20" s="27" t="s">
        <v>9</v>
      </c>
      <c r="B20" s="91" t="s">
        <v>20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65"/>
      <c r="N20" s="119"/>
      <c r="O20" s="120"/>
      <c r="P20" s="79"/>
      <c r="Q20" s="61"/>
    </row>
    <row r="21" spans="1:17" s="66" customFormat="1" ht="19.95" customHeight="1" x14ac:dyDescent="0.3">
      <c r="A21" s="27" t="s">
        <v>9</v>
      </c>
      <c r="B21" s="93" t="s">
        <v>21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41"/>
      <c r="N21" s="117"/>
      <c r="O21" s="118"/>
      <c r="P21" s="167"/>
      <c r="Q21" s="168"/>
    </row>
    <row r="22" spans="1:17" s="66" customFormat="1" ht="19.95" hidden="1" customHeight="1" x14ac:dyDescent="0.3">
      <c r="A22" s="27" t="s">
        <v>9</v>
      </c>
      <c r="B22" s="91" t="s">
        <v>22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65"/>
      <c r="N22" s="119"/>
      <c r="O22" s="120"/>
      <c r="P22" s="167"/>
      <c r="Q22" s="168"/>
    </row>
    <row r="23" spans="1:17" s="66" customFormat="1" ht="19.95" hidden="1" customHeight="1" x14ac:dyDescent="0.3">
      <c r="A23" s="27" t="s">
        <v>9</v>
      </c>
      <c r="B23" s="91" t="s">
        <v>23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65"/>
      <c r="N23" s="119"/>
      <c r="O23" s="120"/>
      <c r="P23" s="167"/>
      <c r="Q23" s="168"/>
    </row>
    <row r="24" spans="1:17" s="66" customFormat="1" ht="19.95" hidden="1" customHeight="1" x14ac:dyDescent="0.3">
      <c r="A24" s="27" t="s">
        <v>9</v>
      </c>
      <c r="B24" s="91" t="s">
        <v>24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65"/>
      <c r="N24" s="119"/>
      <c r="O24" s="120"/>
      <c r="P24" s="167"/>
      <c r="Q24" s="168"/>
    </row>
    <row r="25" spans="1:17" s="66" customFormat="1" ht="19.95" customHeight="1" x14ac:dyDescent="0.3">
      <c r="A25" s="27" t="s">
        <v>9</v>
      </c>
      <c r="B25" s="93" t="s">
        <v>25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41"/>
      <c r="N25" s="119">
        <f>IF(D7="New Tax Regime",0,IF(D7="Old Tax Regime",HRA!P15))</f>
        <v>0</v>
      </c>
      <c r="O25" s="120"/>
      <c r="P25" s="167"/>
      <c r="Q25" s="168"/>
    </row>
    <row r="26" spans="1:17" s="66" customFormat="1" ht="19.95" hidden="1" customHeight="1" x14ac:dyDescent="0.3">
      <c r="A26" s="27" t="s">
        <v>9</v>
      </c>
      <c r="B26" s="91" t="s">
        <v>26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65"/>
      <c r="N26" s="119"/>
      <c r="O26" s="120"/>
      <c r="P26" s="167"/>
      <c r="Q26" s="168"/>
    </row>
    <row r="27" spans="1:17" s="66" customFormat="1" ht="19.95" customHeight="1" x14ac:dyDescent="0.3">
      <c r="A27" s="27" t="s">
        <v>9</v>
      </c>
      <c r="B27" s="93" t="s">
        <v>27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41"/>
      <c r="N27" s="117"/>
      <c r="O27" s="118"/>
      <c r="P27" s="167"/>
      <c r="Q27" s="168"/>
    </row>
    <row r="28" spans="1:17" s="66" customFormat="1" ht="19.95" customHeight="1" x14ac:dyDescent="0.3">
      <c r="A28" s="27" t="s">
        <v>9</v>
      </c>
      <c r="B28" s="93" t="s">
        <v>28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"/>
      <c r="N28" s="117"/>
      <c r="O28" s="118"/>
      <c r="P28" s="167"/>
      <c r="Q28" s="168"/>
    </row>
    <row r="29" spans="1:17" s="66" customFormat="1" ht="19.95" hidden="1" customHeight="1" x14ac:dyDescent="0.3">
      <c r="A29" s="27" t="s">
        <v>9</v>
      </c>
      <c r="B29" s="91" t="s">
        <v>29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65"/>
      <c r="N29" s="117"/>
      <c r="O29" s="118"/>
      <c r="P29" s="167"/>
      <c r="Q29" s="168"/>
    </row>
    <row r="30" spans="1:17" s="66" customFormat="1" ht="19.95" hidden="1" customHeight="1" x14ac:dyDescent="0.3">
      <c r="A30" s="27" t="s">
        <v>9</v>
      </c>
      <c r="B30" s="91" t="s">
        <v>30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65"/>
      <c r="N30" s="117"/>
      <c r="O30" s="118"/>
      <c r="P30" s="167"/>
      <c r="Q30" s="168"/>
    </row>
    <row r="31" spans="1:17" s="66" customFormat="1" ht="19.95" hidden="1" customHeight="1" x14ac:dyDescent="0.3">
      <c r="A31" s="27" t="s">
        <v>9</v>
      </c>
      <c r="B31" s="91" t="s">
        <v>31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65"/>
      <c r="N31" s="117"/>
      <c r="O31" s="118"/>
      <c r="P31" s="167"/>
      <c r="Q31" s="168"/>
    </row>
    <row r="32" spans="1:17" s="66" customFormat="1" ht="19.95" customHeight="1" x14ac:dyDescent="0.3">
      <c r="A32" s="27" t="s">
        <v>9</v>
      </c>
      <c r="B32" s="93" t="s">
        <v>32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65"/>
      <c r="N32" s="117"/>
      <c r="O32" s="118"/>
      <c r="P32" s="167"/>
      <c r="Q32" s="168"/>
    </row>
    <row r="33" spans="1:17" s="66" customFormat="1" ht="19.95" hidden="1" customHeight="1" x14ac:dyDescent="0.3">
      <c r="A33" s="27" t="s">
        <v>9</v>
      </c>
      <c r="B33" s="91" t="s">
        <v>33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65"/>
      <c r="N33" s="117"/>
      <c r="O33" s="118"/>
      <c r="P33" s="167"/>
      <c r="Q33" s="168"/>
    </row>
    <row r="34" spans="1:17" s="66" customFormat="1" ht="19.95" hidden="1" customHeight="1" x14ac:dyDescent="0.3">
      <c r="A34" s="27" t="s">
        <v>9</v>
      </c>
      <c r="B34" s="93" t="s">
        <v>34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41"/>
      <c r="N34" s="117"/>
      <c r="O34" s="118"/>
      <c r="P34" s="167"/>
      <c r="Q34" s="168"/>
    </row>
    <row r="35" spans="1:17" s="66" customFormat="1" ht="19.95" customHeight="1" x14ac:dyDescent="0.3">
      <c r="A35" s="27" t="s">
        <v>9</v>
      </c>
      <c r="B35" s="93" t="s">
        <v>35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41"/>
      <c r="N35" s="117"/>
      <c r="O35" s="118"/>
      <c r="P35" s="167"/>
      <c r="Q35" s="168"/>
    </row>
    <row r="36" spans="1:17" s="66" customFormat="1" ht="19.95" hidden="1" customHeight="1" x14ac:dyDescent="0.3">
      <c r="A36" s="27" t="s">
        <v>9</v>
      </c>
      <c r="B36" s="91" t="s">
        <v>36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65"/>
      <c r="N36" s="119"/>
      <c r="O36" s="120"/>
      <c r="P36" s="167"/>
      <c r="Q36" s="168"/>
    </row>
    <row r="37" spans="1:17" s="66" customFormat="1" ht="19.95" customHeight="1" x14ac:dyDescent="0.3">
      <c r="A37" s="27" t="s">
        <v>9</v>
      </c>
      <c r="B37" s="93" t="s">
        <v>37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65"/>
      <c r="N37" s="117"/>
      <c r="O37" s="118"/>
      <c r="P37" s="167"/>
      <c r="Q37" s="168"/>
    </row>
    <row r="38" spans="1:17" s="66" customFormat="1" ht="19.95" customHeight="1" x14ac:dyDescent="0.3">
      <c r="A38" s="26" t="s">
        <v>38</v>
      </c>
      <c r="B38" s="103" t="s">
        <v>39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48"/>
      <c r="N38" s="121"/>
      <c r="O38" s="122"/>
      <c r="P38" s="165">
        <f>P9-P14</f>
        <v>5090000</v>
      </c>
      <c r="Q38" s="166"/>
    </row>
    <row r="39" spans="1:17" s="66" customFormat="1" ht="19.95" customHeight="1" x14ac:dyDescent="0.3">
      <c r="A39" s="26" t="s">
        <v>40</v>
      </c>
      <c r="B39" s="103" t="s">
        <v>41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48"/>
      <c r="N39" s="119"/>
      <c r="O39" s="120"/>
      <c r="P39" s="169">
        <f>IF(D7="Old Tax Regime",SUM(N40:O42),IF(D7="New Tax Regime",N40))</f>
        <v>75000</v>
      </c>
      <c r="Q39" s="170"/>
    </row>
    <row r="40" spans="1:17" s="66" customFormat="1" ht="19.95" customHeight="1" x14ac:dyDescent="0.3">
      <c r="A40" s="27" t="s">
        <v>9</v>
      </c>
      <c r="B40" s="93" t="s">
        <v>42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41"/>
      <c r="N40" s="119">
        <f>IF(D7="New Tax Regime",IF(P38&gt;=75000,75000,IF(P38&lt;75000,P38)),IF(D7="Old Tax Regime",IF(P38&gt;=50000,50000,IF(P38&lt;50000,P38))))</f>
        <v>75000</v>
      </c>
      <c r="O40" s="120"/>
      <c r="P40" s="171"/>
      <c r="Q40" s="172"/>
    </row>
    <row r="41" spans="1:17" s="66" customFormat="1" ht="19.95" customHeight="1" x14ac:dyDescent="0.3">
      <c r="A41" s="27" t="s">
        <v>9</v>
      </c>
      <c r="B41" s="93" t="s">
        <v>43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41"/>
      <c r="N41" s="117"/>
      <c r="O41" s="118"/>
      <c r="P41" s="171"/>
      <c r="Q41" s="172"/>
    </row>
    <row r="42" spans="1:17" s="66" customFormat="1" ht="19.95" customHeight="1" x14ac:dyDescent="0.3">
      <c r="A42" s="27" t="s">
        <v>9</v>
      </c>
      <c r="B42" s="93" t="s">
        <v>44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41"/>
      <c r="N42" s="117"/>
      <c r="O42" s="118"/>
      <c r="P42" s="171"/>
      <c r="Q42" s="172"/>
    </row>
    <row r="43" spans="1:17" s="66" customFormat="1" ht="19.95" customHeight="1" x14ac:dyDescent="0.3">
      <c r="A43" s="26" t="s">
        <v>45</v>
      </c>
      <c r="B43" s="103" t="s">
        <v>46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48"/>
      <c r="N43" s="119"/>
      <c r="O43" s="120"/>
      <c r="P43" s="129">
        <f>P38-P39</f>
        <v>5015000</v>
      </c>
      <c r="Q43" s="130"/>
    </row>
    <row r="44" spans="1:17" s="66" customFormat="1" ht="19.95" customHeight="1" x14ac:dyDescent="0.3">
      <c r="A44" s="26" t="s">
        <v>47</v>
      </c>
      <c r="B44" s="103" t="s">
        <v>48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48"/>
      <c r="N44" s="119"/>
      <c r="O44" s="120"/>
      <c r="P44" s="169">
        <f>IF(D7="Old Tax Regime",IF(N45&lt;=200000,-N45,IF(N45&gt;200000,-200000)),IF(D7="New Tax Regime",0))</f>
        <v>0</v>
      </c>
      <c r="Q44" s="170"/>
    </row>
    <row r="45" spans="1:17" s="66" customFormat="1" ht="19.95" customHeight="1" x14ac:dyDescent="0.3">
      <c r="A45" s="27" t="s">
        <v>9</v>
      </c>
      <c r="B45" s="93" t="s">
        <v>99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"/>
      <c r="N45" s="117"/>
      <c r="O45" s="118"/>
      <c r="P45" s="171"/>
      <c r="Q45" s="172"/>
    </row>
    <row r="46" spans="1:17" s="66" customFormat="1" ht="19.95" customHeight="1" x14ac:dyDescent="0.3">
      <c r="A46" s="26" t="s">
        <v>49</v>
      </c>
      <c r="B46" s="103" t="s">
        <v>50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48"/>
      <c r="N46" s="119"/>
      <c r="O46" s="120"/>
      <c r="P46" s="129">
        <f>P43+P44</f>
        <v>5015000</v>
      </c>
      <c r="Q46" s="130"/>
    </row>
    <row r="47" spans="1:17" s="66" customFormat="1" ht="19.95" customHeight="1" x14ac:dyDescent="0.3">
      <c r="A47" s="26" t="s">
        <v>51</v>
      </c>
      <c r="B47" s="103" t="s">
        <v>52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48"/>
      <c r="N47" s="119"/>
      <c r="O47" s="120"/>
      <c r="P47" s="169">
        <f>IF(N48&gt;=150000,150000,IF(N48&lt;=150000,N48))+IF(D7="New Tax Regime",N65,IF(D7="Old Tax Regime",IF(N66&gt;=50000,50000,IF(N66&lt;=50000,N66,)))+N67)</f>
        <v>0</v>
      </c>
      <c r="Q47" s="170"/>
    </row>
    <row r="48" spans="1:17" s="66" customFormat="1" ht="19.95" customHeight="1" x14ac:dyDescent="0.3">
      <c r="A48" s="27" t="s">
        <v>9</v>
      </c>
      <c r="B48" s="95" t="s">
        <v>53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42"/>
      <c r="N48" s="127">
        <f>IF(D7="New Tax Regime",0,IF(D7="Old Tax Regime",SUM(N49:O64)))</f>
        <v>0</v>
      </c>
      <c r="O48" s="128"/>
      <c r="P48" s="171"/>
      <c r="Q48" s="172"/>
    </row>
    <row r="49" spans="1:18" s="66" customFormat="1" ht="19.95" customHeight="1" x14ac:dyDescent="0.3">
      <c r="A49" s="27" t="s">
        <v>9</v>
      </c>
      <c r="B49" s="93" t="s">
        <v>100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29" t="s">
        <v>148</v>
      </c>
      <c r="N49" s="117"/>
      <c r="O49" s="118"/>
      <c r="P49" s="171"/>
      <c r="Q49" s="172"/>
    </row>
    <row r="50" spans="1:18" s="66" customFormat="1" ht="19.95" customHeight="1" x14ac:dyDescent="0.3">
      <c r="A50" s="27" t="s">
        <v>9</v>
      </c>
      <c r="B50" s="93" t="s">
        <v>101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29" t="s">
        <v>146</v>
      </c>
      <c r="N50" s="118"/>
      <c r="O50" s="118"/>
      <c r="P50" s="171"/>
      <c r="Q50" s="172"/>
    </row>
    <row r="51" spans="1:18" s="66" customFormat="1" ht="19.95" customHeight="1" x14ac:dyDescent="0.3">
      <c r="A51" s="27" t="s">
        <v>9</v>
      </c>
      <c r="B51" s="93" t="s">
        <v>102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29" t="s">
        <v>147</v>
      </c>
      <c r="N51" s="118"/>
      <c r="O51" s="118"/>
      <c r="P51" s="171"/>
      <c r="Q51" s="172"/>
    </row>
    <row r="52" spans="1:18" s="66" customFormat="1" ht="19.95" customHeight="1" x14ac:dyDescent="0.3">
      <c r="A52" s="27" t="s">
        <v>9</v>
      </c>
      <c r="B52" s="93" t="s">
        <v>103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29" t="s">
        <v>148</v>
      </c>
      <c r="N52" s="118"/>
      <c r="O52" s="118"/>
      <c r="P52" s="171"/>
      <c r="Q52" s="172"/>
    </row>
    <row r="53" spans="1:18" s="66" customFormat="1" ht="19.95" customHeight="1" x14ac:dyDescent="0.3">
      <c r="A53" s="27" t="s">
        <v>9</v>
      </c>
      <c r="B53" s="93" t="s">
        <v>105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29" t="s">
        <v>148</v>
      </c>
      <c r="N53" s="118"/>
      <c r="O53" s="118"/>
      <c r="P53" s="171"/>
      <c r="Q53" s="172"/>
    </row>
    <row r="54" spans="1:18" s="66" customFormat="1" ht="19.95" customHeight="1" x14ac:dyDescent="0.3">
      <c r="A54" s="27" t="s">
        <v>9</v>
      </c>
      <c r="B54" s="93" t="s">
        <v>106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29" t="s">
        <v>148</v>
      </c>
      <c r="N54" s="118"/>
      <c r="O54" s="118"/>
      <c r="P54" s="171"/>
      <c r="Q54" s="172"/>
    </row>
    <row r="55" spans="1:18" s="66" customFormat="1" ht="19.95" customHeight="1" x14ac:dyDescent="0.3">
      <c r="A55" s="27" t="s">
        <v>9</v>
      </c>
      <c r="B55" s="93" t="s">
        <v>107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29" t="s">
        <v>150</v>
      </c>
      <c r="N55" s="118"/>
      <c r="O55" s="118"/>
      <c r="P55" s="171"/>
      <c r="Q55" s="172"/>
    </row>
    <row r="56" spans="1:18" s="66" customFormat="1" ht="19.95" customHeight="1" x14ac:dyDescent="0.3">
      <c r="A56" s="27" t="s">
        <v>9</v>
      </c>
      <c r="B56" s="93" t="s">
        <v>108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29" t="s">
        <v>148</v>
      </c>
      <c r="N56" s="118"/>
      <c r="O56" s="118"/>
      <c r="P56" s="171"/>
      <c r="Q56" s="172"/>
    </row>
    <row r="57" spans="1:18" s="66" customFormat="1" ht="19.95" customHeight="1" x14ac:dyDescent="0.3">
      <c r="A57" s="27" t="s">
        <v>9</v>
      </c>
      <c r="B57" s="93" t="s">
        <v>109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29" t="s">
        <v>148</v>
      </c>
      <c r="N57" s="118"/>
      <c r="O57" s="118"/>
      <c r="P57" s="171"/>
      <c r="Q57" s="172"/>
    </row>
    <row r="58" spans="1:18" s="66" customFormat="1" ht="19.95" customHeight="1" x14ac:dyDescent="0.3">
      <c r="A58" s="27" t="s">
        <v>9</v>
      </c>
      <c r="B58" s="93" t="s">
        <v>110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29" t="s">
        <v>148</v>
      </c>
      <c r="N58" s="118"/>
      <c r="O58" s="118"/>
      <c r="P58" s="171"/>
      <c r="Q58" s="172"/>
    </row>
    <row r="59" spans="1:18" s="66" customFormat="1" ht="19.95" customHeight="1" x14ac:dyDescent="0.3">
      <c r="A59" s="27" t="s">
        <v>9</v>
      </c>
      <c r="B59" s="93" t="s">
        <v>111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29" t="s">
        <v>148</v>
      </c>
      <c r="N59" s="118"/>
      <c r="O59" s="118"/>
      <c r="P59" s="171"/>
      <c r="Q59" s="172"/>
    </row>
    <row r="60" spans="1:18" s="66" customFormat="1" ht="19.95" customHeight="1" x14ac:dyDescent="0.3">
      <c r="A60" s="27" t="s">
        <v>9</v>
      </c>
      <c r="B60" s="93" t="s">
        <v>112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29" t="s">
        <v>148</v>
      </c>
      <c r="N60" s="118"/>
      <c r="O60" s="118"/>
      <c r="P60" s="171"/>
      <c r="Q60" s="172"/>
    </row>
    <row r="61" spans="1:18" s="66" customFormat="1" ht="19.95" customHeight="1" x14ac:dyDescent="0.3">
      <c r="A61" s="27" t="s">
        <v>9</v>
      </c>
      <c r="B61" s="93" t="s">
        <v>113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29" t="s">
        <v>151</v>
      </c>
      <c r="N61" s="118"/>
      <c r="O61" s="118"/>
      <c r="P61" s="171"/>
      <c r="Q61" s="172"/>
    </row>
    <row r="62" spans="1:18" s="66" customFormat="1" ht="19.95" customHeight="1" x14ac:dyDescent="0.3">
      <c r="A62" s="27" t="s">
        <v>9</v>
      </c>
      <c r="B62" s="93" t="s">
        <v>114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29" t="s">
        <v>148</v>
      </c>
      <c r="N62" s="118"/>
      <c r="O62" s="118"/>
      <c r="P62" s="171"/>
      <c r="Q62" s="172"/>
    </row>
    <row r="63" spans="1:18" s="66" customFormat="1" ht="19.95" customHeight="1" x14ac:dyDescent="0.3">
      <c r="A63" s="27" t="s">
        <v>9</v>
      </c>
      <c r="B63" s="93" t="s">
        <v>115</v>
      </c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29" t="s">
        <v>148</v>
      </c>
      <c r="N63" s="118"/>
      <c r="O63" s="118"/>
      <c r="P63" s="171"/>
      <c r="Q63" s="172"/>
      <c r="R63" s="70"/>
    </row>
    <row r="64" spans="1:18" s="66" customFormat="1" ht="19.95" customHeight="1" x14ac:dyDescent="0.3">
      <c r="A64" s="27" t="s">
        <v>9</v>
      </c>
      <c r="B64" s="93" t="s">
        <v>116</v>
      </c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29" t="s">
        <v>148</v>
      </c>
      <c r="N64" s="118"/>
      <c r="O64" s="118"/>
      <c r="P64" s="171"/>
      <c r="Q64" s="172"/>
    </row>
    <row r="65" spans="1:18" s="66" customFormat="1" ht="19.95" customHeight="1" x14ac:dyDescent="0.3">
      <c r="A65" s="27"/>
      <c r="B65" s="93" t="s">
        <v>181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29" t="s">
        <v>182</v>
      </c>
      <c r="N65" s="118"/>
      <c r="O65" s="118"/>
      <c r="P65" s="171"/>
      <c r="Q65" s="172"/>
    </row>
    <row r="66" spans="1:18" s="66" customFormat="1" ht="19.95" customHeight="1" x14ac:dyDescent="0.3">
      <c r="A66" s="27" t="s">
        <v>9</v>
      </c>
      <c r="B66" s="93" t="s">
        <v>104</v>
      </c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29" t="s">
        <v>149</v>
      </c>
      <c r="N66" s="118"/>
      <c r="O66" s="118"/>
      <c r="P66" s="171"/>
      <c r="Q66" s="172"/>
    </row>
    <row r="67" spans="1:18" s="66" customFormat="1" ht="19.95" customHeight="1" x14ac:dyDescent="0.3">
      <c r="A67" s="27" t="s">
        <v>9</v>
      </c>
      <c r="B67" s="95" t="s">
        <v>54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30"/>
      <c r="N67" s="127">
        <f>IF(D7="New Tax Regime",0,IF(D7="Old Tax Regime",IF(L78="Others",IF(N78&lt;=25000,N78,IF(N78&gt;=25000,25000)),IF(L78="Senior Citizen",IF(N78&lt;=50000,N78,IF(N78&gt;=50000,50000)),IF(D7="New Tax Regime",0,IF(D7="Old Tax Regime",IF(L78="Both",IF(N78&lt;=75000,N78,IF(N78&gt;=75000,75000)))))))))+IF(D7="New Tax Regime",0,IF(D7="Old Tax Regime",IF(L79="Others",IF(N79&lt;=25000,N79,IF(N79&gt;=25000,25000)),IF(L79="Senior Citizen",IF(N79&lt;=50000,N79,IF(N79&gt;=50000,50000)),IF(D7="New Tax Regime",0,IF(D7="Old Tax Regime",IF(L79="Both",IF(N79&lt;=75000,N79,IF(N79&gt;=75000,75000)))))))))+N80</f>
        <v>0</v>
      </c>
      <c r="O67" s="128"/>
      <c r="P67" s="171"/>
      <c r="Q67" s="172"/>
    </row>
    <row r="68" spans="1:18" s="66" customFormat="1" ht="19.95" hidden="1" customHeight="1" x14ac:dyDescent="0.3">
      <c r="A68" s="27" t="s">
        <v>9</v>
      </c>
      <c r="B68" s="93" t="s">
        <v>117</v>
      </c>
      <c r="C68" s="94"/>
      <c r="D68" s="94"/>
      <c r="E68" s="94"/>
      <c r="F68" s="94"/>
      <c r="G68" s="94"/>
      <c r="H68" s="94"/>
      <c r="I68" s="94"/>
      <c r="J68" s="94"/>
      <c r="K68" s="94"/>
      <c r="L68" s="77" t="s">
        <v>132</v>
      </c>
      <c r="M68" s="78"/>
      <c r="N68" s="119"/>
      <c r="O68" s="120"/>
      <c r="P68" s="79"/>
      <c r="Q68" s="61"/>
    </row>
    <row r="69" spans="1:18" s="66" customFormat="1" ht="19.95" hidden="1" customHeight="1" x14ac:dyDescent="0.3">
      <c r="A69" s="27" t="s">
        <v>9</v>
      </c>
      <c r="B69" s="93" t="s">
        <v>118</v>
      </c>
      <c r="C69" s="94"/>
      <c r="D69" s="94"/>
      <c r="E69" s="94"/>
      <c r="F69" s="94"/>
      <c r="G69" s="94"/>
      <c r="H69" s="94"/>
      <c r="I69" s="94"/>
      <c r="J69" s="94"/>
      <c r="K69" s="94"/>
      <c r="L69" s="77" t="s">
        <v>133</v>
      </c>
      <c r="M69" s="78"/>
      <c r="N69" s="119"/>
      <c r="O69" s="120"/>
      <c r="P69" s="79"/>
      <c r="Q69" s="61"/>
    </row>
    <row r="70" spans="1:18" s="66" customFormat="1" ht="19.95" hidden="1" customHeight="1" x14ac:dyDescent="0.3">
      <c r="A70" s="27" t="s">
        <v>9</v>
      </c>
      <c r="B70" s="93" t="s">
        <v>119</v>
      </c>
      <c r="C70" s="94"/>
      <c r="D70" s="94"/>
      <c r="E70" s="94"/>
      <c r="F70" s="94"/>
      <c r="G70" s="94"/>
      <c r="H70" s="94"/>
      <c r="I70" s="94"/>
      <c r="J70" s="94"/>
      <c r="K70" s="94"/>
      <c r="L70" s="77" t="s">
        <v>134</v>
      </c>
      <c r="M70" s="78"/>
      <c r="N70" s="119"/>
      <c r="O70" s="120"/>
      <c r="P70" s="79"/>
      <c r="Q70" s="61"/>
    </row>
    <row r="71" spans="1:18" s="66" customFormat="1" ht="19.95" hidden="1" customHeight="1" x14ac:dyDescent="0.3">
      <c r="A71" s="27" t="s">
        <v>9</v>
      </c>
      <c r="B71" s="93" t="s">
        <v>120</v>
      </c>
      <c r="C71" s="94"/>
      <c r="D71" s="94"/>
      <c r="E71" s="94"/>
      <c r="F71" s="94"/>
      <c r="G71" s="94"/>
      <c r="H71" s="94"/>
      <c r="I71" s="94"/>
      <c r="J71" s="131" t="s">
        <v>152</v>
      </c>
      <c r="K71" s="131"/>
      <c r="L71" s="77" t="s">
        <v>135</v>
      </c>
      <c r="M71" s="78"/>
      <c r="N71" s="119"/>
      <c r="O71" s="120"/>
      <c r="P71" s="79"/>
      <c r="Q71" s="61"/>
    </row>
    <row r="72" spans="1:18" s="66" customFormat="1" ht="19.95" hidden="1" customHeight="1" x14ac:dyDescent="0.3">
      <c r="A72" s="27" t="s">
        <v>9</v>
      </c>
      <c r="B72" s="93" t="s">
        <v>121</v>
      </c>
      <c r="C72" s="94"/>
      <c r="D72" s="94"/>
      <c r="E72" s="94"/>
      <c r="F72" s="94"/>
      <c r="G72" s="94"/>
      <c r="H72" s="94"/>
      <c r="I72" s="94"/>
      <c r="J72" s="131" t="s">
        <v>152</v>
      </c>
      <c r="K72" s="131"/>
      <c r="L72" s="77" t="s">
        <v>136</v>
      </c>
      <c r="M72" s="78"/>
      <c r="N72" s="119"/>
      <c r="O72" s="120"/>
      <c r="P72" s="79"/>
      <c r="Q72" s="61"/>
    </row>
    <row r="73" spans="1:18" s="66" customFormat="1" ht="19.95" hidden="1" customHeight="1" x14ac:dyDescent="0.3">
      <c r="A73" s="27" t="s">
        <v>9</v>
      </c>
      <c r="B73" s="93" t="s">
        <v>122</v>
      </c>
      <c r="C73" s="94"/>
      <c r="D73" s="94"/>
      <c r="E73" s="94"/>
      <c r="F73" s="94"/>
      <c r="G73" s="94"/>
      <c r="H73" s="94"/>
      <c r="I73" s="94"/>
      <c r="J73" s="94"/>
      <c r="K73" s="94"/>
      <c r="L73" s="77" t="s">
        <v>137</v>
      </c>
      <c r="M73" s="78"/>
      <c r="N73" s="119"/>
      <c r="O73" s="120"/>
      <c r="P73" s="79"/>
      <c r="Q73" s="61"/>
    </row>
    <row r="74" spans="1:18" s="66" customFormat="1" ht="19.95" hidden="1" customHeight="1" x14ac:dyDescent="0.3">
      <c r="A74" s="27" t="s">
        <v>9</v>
      </c>
      <c r="B74" s="93" t="s">
        <v>123</v>
      </c>
      <c r="C74" s="94"/>
      <c r="D74" s="94"/>
      <c r="E74" s="94"/>
      <c r="F74" s="94"/>
      <c r="G74" s="94"/>
      <c r="H74" s="94"/>
      <c r="I74" s="94"/>
      <c r="J74" s="94"/>
      <c r="K74" s="94"/>
      <c r="L74" s="77" t="s">
        <v>138</v>
      </c>
      <c r="M74" s="78"/>
      <c r="N74" s="119"/>
      <c r="O74" s="120"/>
      <c r="P74" s="79"/>
      <c r="Q74" s="61"/>
      <c r="R74" s="72"/>
    </row>
    <row r="75" spans="1:18" s="66" customFormat="1" ht="19.95" hidden="1" customHeight="1" x14ac:dyDescent="0.3">
      <c r="A75" s="27" t="s">
        <v>9</v>
      </c>
      <c r="B75" s="93" t="s">
        <v>124</v>
      </c>
      <c r="C75" s="94"/>
      <c r="D75" s="94"/>
      <c r="E75" s="94"/>
      <c r="F75" s="94"/>
      <c r="G75" s="94"/>
      <c r="H75" s="94"/>
      <c r="I75" s="94"/>
      <c r="J75" s="94"/>
      <c r="K75" s="94"/>
      <c r="L75" s="77" t="s">
        <v>139</v>
      </c>
      <c r="M75" s="78"/>
      <c r="N75" s="119"/>
      <c r="O75" s="120"/>
      <c r="P75" s="79"/>
      <c r="Q75" s="61"/>
      <c r="R75" s="72"/>
    </row>
    <row r="76" spans="1:18" s="66" customFormat="1" ht="19.95" hidden="1" customHeight="1" x14ac:dyDescent="0.3">
      <c r="A76" s="27" t="s">
        <v>9</v>
      </c>
      <c r="B76" s="93" t="s">
        <v>125</v>
      </c>
      <c r="C76" s="94"/>
      <c r="D76" s="94"/>
      <c r="E76" s="94"/>
      <c r="F76" s="94"/>
      <c r="G76" s="94"/>
      <c r="H76" s="94"/>
      <c r="I76" s="94"/>
      <c r="J76" s="94"/>
      <c r="K76" s="94"/>
      <c r="L76" s="77" t="s">
        <v>140</v>
      </c>
      <c r="M76" s="78"/>
      <c r="N76" s="119"/>
      <c r="O76" s="120"/>
      <c r="P76" s="79"/>
      <c r="Q76" s="61"/>
      <c r="R76" s="72"/>
    </row>
    <row r="77" spans="1:18" s="66" customFormat="1" ht="19.95" hidden="1" customHeight="1" x14ac:dyDescent="0.3">
      <c r="A77" s="27" t="s">
        <v>9</v>
      </c>
      <c r="B77" s="93" t="s">
        <v>126</v>
      </c>
      <c r="C77" s="94"/>
      <c r="D77" s="94"/>
      <c r="E77" s="94"/>
      <c r="F77" s="94"/>
      <c r="G77" s="94"/>
      <c r="H77" s="94"/>
      <c r="I77" s="94"/>
      <c r="J77" s="94"/>
      <c r="K77" s="94"/>
      <c r="L77" s="77" t="s">
        <v>141</v>
      </c>
      <c r="M77" s="78"/>
      <c r="N77" s="119"/>
      <c r="O77" s="120"/>
      <c r="P77" s="79"/>
      <c r="Q77" s="61"/>
      <c r="R77" s="72"/>
    </row>
    <row r="78" spans="1:18" s="66" customFormat="1" ht="19.95" customHeight="1" x14ac:dyDescent="0.3">
      <c r="A78" s="27" t="s">
        <v>9</v>
      </c>
      <c r="B78" s="93" t="s">
        <v>127</v>
      </c>
      <c r="C78" s="94"/>
      <c r="D78" s="94"/>
      <c r="E78" s="94"/>
      <c r="F78" s="94"/>
      <c r="G78" s="94"/>
      <c r="H78" s="94"/>
      <c r="I78" s="94"/>
      <c r="J78" s="94"/>
      <c r="K78" s="94"/>
      <c r="L78" s="11" t="s">
        <v>152</v>
      </c>
      <c r="M78" s="29" t="s">
        <v>142</v>
      </c>
      <c r="N78" s="118"/>
      <c r="O78" s="118"/>
      <c r="P78" s="171"/>
      <c r="Q78" s="172"/>
      <c r="R78" s="73"/>
    </row>
    <row r="79" spans="1:18" s="66" customFormat="1" ht="19.95" customHeight="1" x14ac:dyDescent="0.3">
      <c r="A79" s="27" t="s">
        <v>9</v>
      </c>
      <c r="B79" s="93" t="s">
        <v>128</v>
      </c>
      <c r="C79" s="94"/>
      <c r="D79" s="94"/>
      <c r="E79" s="94"/>
      <c r="F79" s="94"/>
      <c r="G79" s="94"/>
      <c r="H79" s="94"/>
      <c r="I79" s="94"/>
      <c r="J79" s="94"/>
      <c r="K79" s="94"/>
      <c r="L79" s="11" t="s">
        <v>169</v>
      </c>
      <c r="M79" s="29" t="s">
        <v>142</v>
      </c>
      <c r="N79" s="118"/>
      <c r="O79" s="118"/>
      <c r="P79" s="171"/>
      <c r="Q79" s="172"/>
      <c r="R79" s="73"/>
    </row>
    <row r="80" spans="1:18" s="66" customFormat="1" ht="19.95" customHeight="1" x14ac:dyDescent="0.3">
      <c r="A80" s="27" t="s">
        <v>9</v>
      </c>
      <c r="B80" s="93" t="s">
        <v>129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29" t="s">
        <v>143</v>
      </c>
      <c r="N80" s="117"/>
      <c r="O80" s="118"/>
      <c r="P80" s="171"/>
      <c r="Q80" s="172"/>
    </row>
    <row r="81" spans="1:19" s="66" customFormat="1" ht="19.95" hidden="1" customHeight="1" x14ac:dyDescent="0.3">
      <c r="A81" s="27" t="s">
        <v>9</v>
      </c>
      <c r="B81" s="93" t="s">
        <v>130</v>
      </c>
      <c r="C81" s="94"/>
      <c r="D81" s="94"/>
      <c r="E81" s="94"/>
      <c r="F81" s="94"/>
      <c r="G81" s="94"/>
      <c r="H81" s="94"/>
      <c r="I81" s="94"/>
      <c r="J81" s="131" t="s">
        <v>152</v>
      </c>
      <c r="K81" s="131"/>
      <c r="L81" s="77" t="s">
        <v>144</v>
      </c>
      <c r="M81" s="78"/>
      <c r="N81" s="119"/>
      <c r="O81" s="120"/>
      <c r="P81" s="79"/>
      <c r="Q81" s="61"/>
    </row>
    <row r="82" spans="1:19" s="66" customFormat="1" ht="19.95" hidden="1" customHeight="1" x14ac:dyDescent="0.3">
      <c r="A82" s="27" t="s">
        <v>9</v>
      </c>
      <c r="B82" s="93" t="s">
        <v>131</v>
      </c>
      <c r="C82" s="94"/>
      <c r="D82" s="94"/>
      <c r="E82" s="94"/>
      <c r="F82" s="94"/>
      <c r="G82" s="94"/>
      <c r="H82" s="94"/>
      <c r="I82" s="94"/>
      <c r="J82" s="94"/>
      <c r="K82" s="94"/>
      <c r="L82" s="77" t="s">
        <v>145</v>
      </c>
      <c r="M82" s="78"/>
      <c r="N82" s="119"/>
      <c r="O82" s="120"/>
      <c r="P82" s="79"/>
      <c r="Q82" s="61"/>
    </row>
    <row r="83" spans="1:19" s="66" customFormat="1" ht="19.95" customHeight="1" x14ac:dyDescent="0.3">
      <c r="A83" s="26" t="s">
        <v>55</v>
      </c>
      <c r="B83" s="103" t="s">
        <v>56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32"/>
      <c r="N83" s="119"/>
      <c r="O83" s="120"/>
      <c r="P83" s="129">
        <f>ROUND(P46-P47,-1)</f>
        <v>5015000</v>
      </c>
      <c r="Q83" s="130"/>
    </row>
    <row r="84" spans="1:19" s="66" customFormat="1" ht="19.95" customHeight="1" x14ac:dyDescent="0.3">
      <c r="A84" s="26" t="s">
        <v>57</v>
      </c>
      <c r="B84" s="103" t="s">
        <v>58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32"/>
      <c r="N84" s="119"/>
      <c r="O84" s="120"/>
      <c r="P84" s="129">
        <f ca="1">Q119+H119</f>
        <v>1138800</v>
      </c>
      <c r="Q84" s="130"/>
    </row>
    <row r="85" spans="1:19" s="66" customFormat="1" ht="19.95" customHeight="1" x14ac:dyDescent="0.3">
      <c r="A85" s="26" t="s">
        <v>59</v>
      </c>
      <c r="B85" s="103" t="s">
        <v>60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32"/>
      <c r="N85" s="119"/>
      <c r="O85" s="120"/>
      <c r="P85" s="171"/>
      <c r="Q85" s="172"/>
    </row>
    <row r="86" spans="1:19" s="66" customFormat="1" ht="19.95" hidden="1" customHeight="1" x14ac:dyDescent="0.3">
      <c r="A86" s="27" t="s">
        <v>9</v>
      </c>
      <c r="B86" s="91" t="s">
        <v>61</v>
      </c>
      <c r="C86" s="92"/>
      <c r="D86" s="92"/>
      <c r="E86" s="92"/>
      <c r="F86" s="92"/>
      <c r="G86" s="92"/>
      <c r="H86" s="92"/>
      <c r="I86" s="92"/>
      <c r="J86" s="92"/>
      <c r="K86" s="92"/>
      <c r="L86" s="134"/>
      <c r="M86" s="65"/>
      <c r="N86" s="119"/>
      <c r="O86" s="120"/>
      <c r="P86" s="79"/>
      <c r="Q86" s="61"/>
    </row>
    <row r="87" spans="1:19" s="66" customFormat="1" ht="19.95" customHeight="1" x14ac:dyDescent="0.3">
      <c r="A87" s="26" t="s">
        <v>62</v>
      </c>
      <c r="B87" s="103" t="s">
        <v>63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32"/>
      <c r="N87" s="119"/>
      <c r="O87" s="120"/>
      <c r="P87" s="129">
        <f ca="1">P84-Q85</f>
        <v>1138800</v>
      </c>
      <c r="Q87" s="130"/>
    </row>
    <row r="88" spans="1:19" s="66" customFormat="1" ht="19.95" customHeight="1" x14ac:dyDescent="0.3">
      <c r="A88" s="26" t="s">
        <v>64</v>
      </c>
      <c r="B88" s="103" t="s">
        <v>65</v>
      </c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32"/>
      <c r="N88" s="119"/>
      <c r="O88" s="120"/>
      <c r="P88" s="129">
        <f>SUM(N89:O94)</f>
        <v>0</v>
      </c>
      <c r="Q88" s="130"/>
    </row>
    <row r="89" spans="1:19" s="66" customFormat="1" ht="19.95" customHeight="1" x14ac:dyDescent="0.3">
      <c r="A89" s="27" t="s">
        <v>9</v>
      </c>
      <c r="B89" s="93" t="s">
        <v>66</v>
      </c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133"/>
      <c r="N89" s="117"/>
      <c r="O89" s="118"/>
      <c r="P89" s="171"/>
      <c r="Q89" s="172"/>
    </row>
    <row r="90" spans="1:19" s="66" customFormat="1" ht="19.95" customHeight="1" x14ac:dyDescent="0.3">
      <c r="A90" s="27" t="s">
        <v>9</v>
      </c>
      <c r="B90" s="93" t="s">
        <v>67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133"/>
      <c r="N90" s="117"/>
      <c r="O90" s="118"/>
      <c r="P90" s="171"/>
      <c r="Q90" s="172"/>
    </row>
    <row r="91" spans="1:19" s="66" customFormat="1" ht="19.95" customHeight="1" x14ac:dyDescent="0.3">
      <c r="A91" s="27" t="s">
        <v>9</v>
      </c>
      <c r="B91" s="93" t="s">
        <v>68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133"/>
      <c r="N91" s="117"/>
      <c r="O91" s="118"/>
      <c r="P91" s="171"/>
      <c r="Q91" s="172"/>
    </row>
    <row r="92" spans="1:19" s="66" customFormat="1" ht="19.95" customHeight="1" x14ac:dyDescent="0.3">
      <c r="A92" s="27" t="s">
        <v>9</v>
      </c>
      <c r="B92" s="93" t="s">
        <v>69</v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133"/>
      <c r="N92" s="117"/>
      <c r="O92" s="118"/>
      <c r="P92" s="171"/>
      <c r="Q92" s="172"/>
    </row>
    <row r="93" spans="1:19" s="66" customFormat="1" ht="19.95" customHeight="1" x14ac:dyDescent="0.3">
      <c r="A93" s="27" t="s">
        <v>9</v>
      </c>
      <c r="B93" s="93" t="s">
        <v>70</v>
      </c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133"/>
      <c r="N93" s="117"/>
      <c r="O93" s="118"/>
      <c r="P93" s="171"/>
      <c r="Q93" s="172"/>
    </row>
    <row r="94" spans="1:19" s="66" customFormat="1" ht="19.95" customHeight="1" x14ac:dyDescent="0.3">
      <c r="A94" s="27" t="s">
        <v>9</v>
      </c>
      <c r="B94" s="93" t="s">
        <v>71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133"/>
      <c r="N94" s="117"/>
      <c r="O94" s="118"/>
      <c r="P94" s="171"/>
      <c r="Q94" s="172"/>
    </row>
    <row r="95" spans="1:19" s="66" customFormat="1" ht="19.95" customHeight="1" x14ac:dyDescent="0.3">
      <c r="A95" s="31" t="s">
        <v>9</v>
      </c>
      <c r="B95" s="143" t="s">
        <v>72</v>
      </c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5"/>
      <c r="N95" s="149"/>
      <c r="O95" s="150"/>
      <c r="P95" s="129">
        <f ca="1">P87-P88</f>
        <v>1138800</v>
      </c>
      <c r="Q95" s="130"/>
    </row>
    <row r="96" spans="1:19" s="66" customFormat="1" ht="19.95" customHeight="1" x14ac:dyDescent="0.3">
      <c r="A96" s="43"/>
      <c r="B96" s="142" t="s">
        <v>174</v>
      </c>
      <c r="C96" s="142"/>
      <c r="D96" s="142"/>
      <c r="E96" s="142"/>
      <c r="F96" s="142"/>
      <c r="G96" s="142"/>
      <c r="H96" s="142"/>
      <c r="I96" s="154"/>
      <c r="J96" s="154"/>
      <c r="K96" s="142" t="s">
        <v>173</v>
      </c>
      <c r="L96" s="142"/>
      <c r="M96" s="142"/>
      <c r="N96" s="142"/>
      <c r="O96" s="142"/>
      <c r="P96" s="142"/>
      <c r="Q96" s="142"/>
      <c r="S96" s="68"/>
    </row>
    <row r="97" spans="1:20" s="66" customFormat="1" ht="19.95" customHeight="1" x14ac:dyDescent="0.3">
      <c r="A97" s="32"/>
      <c r="B97" s="44" t="s">
        <v>85</v>
      </c>
      <c r="C97" s="146" t="s">
        <v>163</v>
      </c>
      <c r="D97" s="147"/>
      <c r="E97" s="148"/>
      <c r="F97" s="44" t="s">
        <v>162</v>
      </c>
      <c r="G97" s="146" t="s">
        <v>161</v>
      </c>
      <c r="H97" s="148"/>
      <c r="I97" s="154"/>
      <c r="J97" s="154"/>
      <c r="K97" s="33" t="s">
        <v>85</v>
      </c>
      <c r="L97" s="90" t="s">
        <v>163</v>
      </c>
      <c r="M97" s="90"/>
      <c r="N97" s="90"/>
      <c r="O97" s="44" t="s">
        <v>162</v>
      </c>
      <c r="P97" s="146" t="s">
        <v>161</v>
      </c>
      <c r="Q97" s="148"/>
    </row>
    <row r="98" spans="1:20" s="66" customFormat="1" ht="19.95" customHeight="1" x14ac:dyDescent="0.3">
      <c r="A98" s="32"/>
      <c r="B98" s="34">
        <v>1</v>
      </c>
      <c r="C98" s="85">
        <f>IF(D7="Old Tax Regime",0,IF(D7="New Tax Regime",MIN(P83,400000),0))</f>
        <v>400000</v>
      </c>
      <c r="D98" s="86"/>
      <c r="E98" s="87"/>
      <c r="F98" s="35">
        <v>0</v>
      </c>
      <c r="G98" s="85">
        <f t="shared" ref="G98:G104" si="0">ROUND(C98*F98,)</f>
        <v>0</v>
      </c>
      <c r="H98" s="87"/>
      <c r="I98" s="154"/>
      <c r="J98" s="154"/>
      <c r="K98" s="34">
        <v>1</v>
      </c>
      <c r="L98" s="88">
        <f>IF(D7="New Tax Regime",0,IF(E4="Senior Citizen",MIN(P83,300000),IF(E4="S. S. Citizen",MIN(P83,500000),MIN(P83,250000))))</f>
        <v>0</v>
      </c>
      <c r="M98" s="88"/>
      <c r="N98" s="88"/>
      <c r="O98" s="35">
        <v>0</v>
      </c>
      <c r="P98" s="85">
        <f>ROUND(L98*O98,)</f>
        <v>0</v>
      </c>
      <c r="Q98" s="87"/>
      <c r="S98" s="70"/>
      <c r="T98" s="70"/>
    </row>
    <row r="99" spans="1:20" s="66" customFormat="1" ht="19.95" customHeight="1" x14ac:dyDescent="0.3">
      <c r="A99" s="32"/>
      <c r="B99" s="34">
        <v>2</v>
      </c>
      <c r="C99" s="85">
        <f>IF(D7="Old Tax Regime",0,IF(D7="New Tax Regime",IF(P83&lt;=800000,P83-C98,400000),0))</f>
        <v>400000</v>
      </c>
      <c r="D99" s="86"/>
      <c r="E99" s="87"/>
      <c r="F99" s="35">
        <v>0.05</v>
      </c>
      <c r="G99" s="85">
        <f t="shared" si="0"/>
        <v>20000</v>
      </c>
      <c r="H99" s="87"/>
      <c r="I99" s="154"/>
      <c r="J99" s="154"/>
      <c r="K99" s="34">
        <v>2</v>
      </c>
      <c r="L99" s="88">
        <f>IF(D7="New Tax Regime",0,IF(E4="Senior Citizen",IF(P83&lt;=500000,P83-L98,200000),IF(E4="S. S. Citizen",0,IF(P83&lt;=500000,P83-L98,250000))))</f>
        <v>0</v>
      </c>
      <c r="M99" s="88"/>
      <c r="N99" s="88"/>
      <c r="O99" s="35">
        <v>0.05</v>
      </c>
      <c r="P99" s="85">
        <f>ROUND(L99*O99,)</f>
        <v>0</v>
      </c>
      <c r="Q99" s="87"/>
      <c r="S99" s="70"/>
    </row>
    <row r="100" spans="1:20" s="66" customFormat="1" ht="19.95" customHeight="1" x14ac:dyDescent="0.3">
      <c r="A100" s="32"/>
      <c r="B100" s="34">
        <v>3</v>
      </c>
      <c r="C100" s="85">
        <f>IF(D7="Old Tax Regime",0,IF(D7="New Tax Regime",IF(P83&lt;=1200000,P83-C98-C99,400000),0))</f>
        <v>400000</v>
      </c>
      <c r="D100" s="86"/>
      <c r="E100" s="87"/>
      <c r="F100" s="35">
        <v>0.1</v>
      </c>
      <c r="G100" s="85">
        <f t="shared" si="0"/>
        <v>40000</v>
      </c>
      <c r="H100" s="87"/>
      <c r="I100" s="154"/>
      <c r="J100" s="154"/>
      <c r="K100" s="34">
        <v>3</v>
      </c>
      <c r="L100" s="88">
        <f>MAX(0,IF(D7="New Tax Regime",0,IF(E4="S. S. Citizen",IF(P83&lt;=1000000,P83-L98-L99,500000),IF(E4="Senior Citizen",IF(P83&lt;=1000000,P83-L98-L99,500000),IF(P83&lt;=1000000,P83-L98-L99,500000)))))</f>
        <v>0</v>
      </c>
      <c r="M100" s="88"/>
      <c r="N100" s="88"/>
      <c r="O100" s="35">
        <v>0.2</v>
      </c>
      <c r="P100" s="85">
        <f>ROUND(L100*O100,)</f>
        <v>0</v>
      </c>
      <c r="Q100" s="87"/>
      <c r="S100" s="70"/>
    </row>
    <row r="101" spans="1:20" s="66" customFormat="1" ht="19.95" customHeight="1" x14ac:dyDescent="0.3">
      <c r="A101" s="32"/>
      <c r="B101" s="34">
        <v>4</v>
      </c>
      <c r="C101" s="85">
        <f>IF(D7="Old Tax Regime",0,IF(D7="New Tax Regime",IF(P83&lt;=1600000,P83-C98-C99-C100,400000),0))</f>
        <v>400000</v>
      </c>
      <c r="D101" s="86"/>
      <c r="E101" s="87"/>
      <c r="F101" s="35">
        <v>0.15</v>
      </c>
      <c r="G101" s="85">
        <f t="shared" si="0"/>
        <v>60000</v>
      </c>
      <c r="H101" s="87"/>
      <c r="I101" s="154"/>
      <c r="J101" s="154"/>
      <c r="K101" s="34">
        <v>4</v>
      </c>
      <c r="L101" s="88">
        <f>MAX(0,IF(D7="New Tax Regime",0,IF(P83&lt;=1000000,0,P83-L98-L99-L100)))</f>
        <v>0</v>
      </c>
      <c r="M101" s="88"/>
      <c r="N101" s="88"/>
      <c r="O101" s="35">
        <v>0.3</v>
      </c>
      <c r="P101" s="85">
        <f>ROUND(L101*O101,)</f>
        <v>0</v>
      </c>
      <c r="Q101" s="87"/>
      <c r="S101" s="70"/>
    </row>
    <row r="102" spans="1:20" s="66" customFormat="1" ht="19.95" customHeight="1" x14ac:dyDescent="0.3">
      <c r="A102" s="32"/>
      <c r="B102" s="34">
        <v>5</v>
      </c>
      <c r="C102" s="85">
        <f>IF(D7="Old Tax Regime",0,IF(D7="New Tax Regime",IF(P83&lt;=2000000,P83-C98-C99-C100-C101,400000),0))</f>
        <v>400000</v>
      </c>
      <c r="D102" s="86"/>
      <c r="E102" s="87"/>
      <c r="F102" s="35">
        <v>0.2</v>
      </c>
      <c r="G102" s="85">
        <f t="shared" si="0"/>
        <v>80000</v>
      </c>
      <c r="H102" s="87"/>
      <c r="I102" s="154"/>
      <c r="J102" s="154"/>
      <c r="K102" s="37"/>
      <c r="L102" s="88"/>
      <c r="M102" s="88"/>
      <c r="N102" s="88"/>
      <c r="O102" s="37"/>
      <c r="P102" s="173"/>
      <c r="Q102" s="174"/>
    </row>
    <row r="103" spans="1:20" s="66" customFormat="1" ht="19.95" customHeight="1" x14ac:dyDescent="0.3">
      <c r="A103" s="32"/>
      <c r="B103" s="34">
        <v>6</v>
      </c>
      <c r="C103" s="85">
        <f>IF(D7="Old Tax Regime",0,IF(D7="New Tax Regime",IF(P83&lt;=2400000,P83-C98-C99-C100-C101-C102,400000),0))</f>
        <v>400000</v>
      </c>
      <c r="D103" s="86"/>
      <c r="E103" s="87"/>
      <c r="F103" s="35">
        <v>0.25</v>
      </c>
      <c r="G103" s="85">
        <f t="shared" si="0"/>
        <v>100000</v>
      </c>
      <c r="H103" s="87"/>
      <c r="I103" s="154"/>
      <c r="J103" s="154"/>
      <c r="K103" s="37"/>
      <c r="L103" s="88"/>
      <c r="M103" s="88"/>
      <c r="N103" s="88"/>
      <c r="O103" s="37"/>
      <c r="P103" s="173"/>
      <c r="Q103" s="174"/>
    </row>
    <row r="104" spans="1:20" s="66" customFormat="1" ht="19.95" customHeight="1" x14ac:dyDescent="0.3">
      <c r="A104" s="32"/>
      <c r="B104" s="34">
        <v>7</v>
      </c>
      <c r="C104" s="85">
        <f>IF(D7="Old Tax Regime",0,IF(D7="New Tax Regime",IF(P83&gt;=2400000,P83-C98-C99-C100-C101-C102-C103,0),0))</f>
        <v>2615000</v>
      </c>
      <c r="D104" s="86"/>
      <c r="E104" s="87"/>
      <c r="F104" s="35">
        <v>0.3</v>
      </c>
      <c r="G104" s="85">
        <f t="shared" si="0"/>
        <v>784500</v>
      </c>
      <c r="H104" s="87"/>
      <c r="I104" s="154"/>
      <c r="J104" s="154"/>
      <c r="K104" s="37"/>
      <c r="L104" s="88"/>
      <c r="M104" s="88"/>
      <c r="N104" s="88"/>
      <c r="O104" s="37"/>
      <c r="P104" s="173"/>
      <c r="Q104" s="174"/>
    </row>
    <row r="105" spans="1:20" s="66" customFormat="1" ht="19.95" customHeight="1" x14ac:dyDescent="0.3">
      <c r="A105" s="32"/>
      <c r="B105" s="34">
        <v>8</v>
      </c>
      <c r="C105" s="151">
        <f>SUM(C98:E104)</f>
        <v>5015000</v>
      </c>
      <c r="D105" s="152"/>
      <c r="E105" s="153"/>
      <c r="F105" s="37"/>
      <c r="G105" s="151">
        <f>SUM(G98:H104)</f>
        <v>1084500</v>
      </c>
      <c r="H105" s="153"/>
      <c r="I105" s="154"/>
      <c r="J105" s="154"/>
      <c r="K105" s="34">
        <v>5</v>
      </c>
      <c r="L105" s="89">
        <f>SUM(L98:N101)</f>
        <v>0</v>
      </c>
      <c r="M105" s="89"/>
      <c r="N105" s="90"/>
      <c r="O105" s="44"/>
      <c r="P105" s="175">
        <f>SUM(P98:Q101)</f>
        <v>0</v>
      </c>
      <c r="Q105" s="176"/>
      <c r="S105" s="68"/>
    </row>
    <row r="106" spans="1:20" s="66" customFormat="1" ht="19.95" customHeight="1" x14ac:dyDescent="0.3">
      <c r="A106" s="32"/>
      <c r="B106" s="34">
        <v>9</v>
      </c>
      <c r="C106" s="155" t="s">
        <v>164</v>
      </c>
      <c r="D106" s="155"/>
      <c r="E106" s="155"/>
      <c r="F106" s="155"/>
      <c r="G106" s="151">
        <f>G105</f>
        <v>1084500</v>
      </c>
      <c r="H106" s="153"/>
      <c r="I106" s="154"/>
      <c r="J106" s="154"/>
      <c r="K106" s="34">
        <v>6</v>
      </c>
      <c r="L106" s="136" t="s">
        <v>164</v>
      </c>
      <c r="M106" s="137"/>
      <c r="N106" s="137"/>
      <c r="O106" s="138"/>
      <c r="P106" s="175">
        <f>P105</f>
        <v>0</v>
      </c>
      <c r="Q106" s="176"/>
    </row>
    <row r="107" spans="1:20" s="66" customFormat="1" ht="19.95" customHeight="1" x14ac:dyDescent="0.3">
      <c r="A107" s="32"/>
      <c r="B107" s="34">
        <v>10</v>
      </c>
      <c r="C107" s="84" t="s">
        <v>168</v>
      </c>
      <c r="D107" s="84"/>
      <c r="E107" s="84"/>
      <c r="F107" s="84"/>
      <c r="G107" s="85">
        <f>IF(G106&lt;=60000,G106,IF(C105&gt;1275000,0,IF(C105&lt;=1275000,IF(G106&gt;C101,G106-C101,IF(G106&lt;=C101,0)))))</f>
        <v>0</v>
      </c>
      <c r="H107" s="87"/>
      <c r="I107" s="154"/>
      <c r="J107" s="154"/>
      <c r="K107" s="34">
        <v>7</v>
      </c>
      <c r="L107" s="139" t="s">
        <v>168</v>
      </c>
      <c r="M107" s="140"/>
      <c r="N107" s="140"/>
      <c r="O107" s="141"/>
      <c r="P107" s="175">
        <f>IF(P106&lt;=12500,P106,IF(P106&gt;=12500,0))</f>
        <v>0</v>
      </c>
      <c r="Q107" s="176"/>
      <c r="S107" s="69"/>
    </row>
    <row r="108" spans="1:20" s="66" customFormat="1" ht="19.95" customHeight="1" x14ac:dyDescent="0.3">
      <c r="A108" s="32"/>
      <c r="B108" s="34"/>
      <c r="C108" s="139" t="s">
        <v>190</v>
      </c>
      <c r="D108" s="140"/>
      <c r="E108" s="141"/>
      <c r="F108" s="62">
        <f>IF(D7="Old Tax Regime",0,IF(P83&lt;=5000000,0%,IF(P83&lt;=10000000,10%,IF(P83&lt;=20000000,15%,IF(P83&gt;20000000,25%)))))</f>
        <v>0.1</v>
      </c>
      <c r="G108" s="36">
        <f>ROUND(IF(P83&lt;=5000000,G106*F108,IF(P83&lt;=10000000,G106*F108,IF(P83&lt;=20000000,G106*F108,IF(P83&gt;20000000,G106*F108)))),0)</f>
        <v>108450</v>
      </c>
      <c r="H108" s="39"/>
      <c r="I108" s="154"/>
      <c r="J108" s="154"/>
      <c r="K108" s="34"/>
      <c r="L108" s="139" t="s">
        <v>190</v>
      </c>
      <c r="M108" s="140"/>
      <c r="N108" s="141"/>
      <c r="O108" s="63">
        <f>IF(D7="New Tax Regime",0,IF(P83&lt;=5000000,0%,IF(P83&lt;=10000000,10%,IF(P83&lt;=20000000,15%,IF(P83&lt;=50000000,25%,IF(P83&gt;50000000,37%))))))</f>
        <v>0</v>
      </c>
      <c r="P108" s="36">
        <f>ROUND(IF(P83&lt;=5000000,P106*O108,IF(P83&lt;=10000000,P106*O108,IF(P83&lt;=20000000,P106*O108,IF(P83&gt;20000000,P106*O108)))),0)</f>
        <v>0</v>
      </c>
      <c r="Q108" s="39"/>
      <c r="S108" s="69"/>
    </row>
    <row r="109" spans="1:20" s="66" customFormat="1" ht="19.95" customHeight="1" x14ac:dyDescent="0.3">
      <c r="A109" s="32"/>
      <c r="B109" s="34"/>
      <c r="C109" s="136" t="s">
        <v>191</v>
      </c>
      <c r="D109" s="137"/>
      <c r="E109" s="137"/>
      <c r="F109" s="138"/>
      <c r="G109" s="81">
        <f>G106-G107+G108</f>
        <v>1192950</v>
      </c>
      <c r="H109" s="36"/>
      <c r="I109" s="154"/>
      <c r="J109" s="154"/>
      <c r="K109" s="34"/>
      <c r="L109" s="136" t="s">
        <v>191</v>
      </c>
      <c r="M109" s="137"/>
      <c r="N109" s="137"/>
      <c r="O109" s="138"/>
      <c r="P109" s="81">
        <f>P106-P107+P108</f>
        <v>0</v>
      </c>
      <c r="Q109" s="39"/>
      <c r="S109" s="69"/>
    </row>
    <row r="110" spans="1:20" s="66" customFormat="1" ht="19.95" customHeight="1" x14ac:dyDescent="0.3">
      <c r="A110" s="32"/>
      <c r="B110" s="34"/>
      <c r="C110" s="139" t="s">
        <v>192</v>
      </c>
      <c r="D110" s="140"/>
      <c r="E110" s="140"/>
      <c r="F110" s="141"/>
      <c r="G110" s="83">
        <f>IF(D7="Old Tax Regime",0,IF(D7="New Tax Regime",(IF(P83&lt;=5000000,0,IF(P83&lt;=10000000,5000000,IF(P83&lt;=20000000,10000000,IF(P83&lt;=50000000,20000000,50000000)))))))</f>
        <v>5000000</v>
      </c>
      <c r="H110" s="36"/>
      <c r="I110" s="154"/>
      <c r="J110" s="154"/>
      <c r="K110" s="34"/>
      <c r="L110" s="139" t="s">
        <v>192</v>
      </c>
      <c r="M110" s="140"/>
      <c r="N110" s="140"/>
      <c r="O110" s="141"/>
      <c r="P110" s="36">
        <f>IF(D7="New Tax Regime",0,IF(D7="Old Tax Regime",(IF(P83&lt;=5000000,0,IF(P83&lt;=10000000,5000000,IF(P83&lt;=20000000,10000000,IF(P83&lt;=50000000,20000000,50000000)))))))</f>
        <v>0</v>
      </c>
      <c r="Q110" s="39"/>
      <c r="S110" s="69"/>
    </row>
    <row r="111" spans="1:20" s="66" customFormat="1" ht="19.95" customHeight="1" x14ac:dyDescent="0.3">
      <c r="A111" s="32"/>
      <c r="B111" s="34"/>
      <c r="C111" s="139" t="s">
        <v>193</v>
      </c>
      <c r="D111" s="140"/>
      <c r="E111" s="140"/>
      <c r="F111" s="141"/>
      <c r="G111" s="83">
        <f>IF(G110&lt;=400000,0,IF(G110&lt;=800000,(G110-400000)*5%,IF(G110&lt;=1200000,20000+(G110-800000)*10%,IF(G110&lt;=1600000,60000+(G110-1200000)*15%,IF(G110&lt;=2000000,120000+(G110-1600000)*20%,IF(G110&lt;=2400000,200000+(G110-2000000)*25%,300000+(G110-2400000)*30%))))))</f>
        <v>1080000</v>
      </c>
      <c r="H111" s="36"/>
      <c r="I111" s="154"/>
      <c r="J111" s="154"/>
      <c r="K111" s="34"/>
      <c r="L111" s="139" t="s">
        <v>193</v>
      </c>
      <c r="M111" s="140"/>
      <c r="N111" s="140"/>
      <c r="O111" s="141"/>
      <c r="P111" s="36">
        <f ca="1">IF(E4="",IF(P110&lt;=250000,0,IF(P110&lt;=500000,(P110-250000)*5%,IF(P110&lt;=1000000,12500+(P110-500000)*20%,112500+(P110-1000000)*30%))),IF(E4="Senior Citizen",IF(P110&lt;=300000,0,IF(P110&lt;=500000,(P110-300000)*5%,IF(P110&lt;=1000000,10000+(P110-500000)*20%,110000+(P110-1000000)*30%))),IF(E4="S. S. Citizen",IF(P110&lt;=500000,0,IF(P110&lt;=1000000,(P110-500000)*20%,100000+(P110-1000000)*30%)))))</f>
        <v>0</v>
      </c>
      <c r="Q111" s="39"/>
      <c r="S111" s="69"/>
    </row>
    <row r="112" spans="1:20" s="66" customFormat="1" ht="19.95" customHeight="1" x14ac:dyDescent="0.3">
      <c r="A112" s="32"/>
      <c r="B112" s="34"/>
      <c r="C112" s="139" t="s">
        <v>194</v>
      </c>
      <c r="D112" s="140"/>
      <c r="E112" s="140"/>
      <c r="F112" s="141"/>
      <c r="G112" s="83">
        <f>IF(G110&lt;=5000000,0,IF(G110&lt;=10000000,G111*10%,IF(G110&lt;=20000000,G111*15%,IF(G110&lt;=50000000,G111*25%,G111*25%))))</f>
        <v>0</v>
      </c>
      <c r="H112" s="36"/>
      <c r="I112" s="154"/>
      <c r="J112" s="154"/>
      <c r="K112" s="34"/>
      <c r="L112" s="139" t="s">
        <v>194</v>
      </c>
      <c r="M112" s="140"/>
      <c r="N112" s="140"/>
      <c r="O112" s="141"/>
      <c r="P112" s="36">
        <f>IF(P110&lt;=5000000,0,IF(P110&lt;=10000000,P111*10%,IF(P110&lt;=20000000,P111*15%,IF(P110&lt;=50000000,P111*25%,P111*37%))))</f>
        <v>0</v>
      </c>
      <c r="Q112" s="39"/>
      <c r="S112" s="69"/>
    </row>
    <row r="113" spans="1:20" s="66" customFormat="1" ht="19.95" customHeight="1" x14ac:dyDescent="0.3">
      <c r="A113" s="32"/>
      <c r="B113" s="34"/>
      <c r="C113" s="136" t="s">
        <v>195</v>
      </c>
      <c r="D113" s="137"/>
      <c r="E113" s="137"/>
      <c r="F113" s="138"/>
      <c r="G113" s="82">
        <f>G111+G112</f>
        <v>1080000</v>
      </c>
      <c r="H113" s="36"/>
      <c r="I113" s="154"/>
      <c r="J113" s="154"/>
      <c r="K113" s="34"/>
      <c r="L113" s="136" t="s">
        <v>195</v>
      </c>
      <c r="M113" s="137"/>
      <c r="N113" s="137"/>
      <c r="O113" s="138"/>
      <c r="P113" s="82">
        <f ca="1">P111+P112</f>
        <v>0</v>
      </c>
      <c r="Q113" s="39"/>
      <c r="S113" s="69"/>
    </row>
    <row r="114" spans="1:20" s="66" customFormat="1" ht="19.95" customHeight="1" x14ac:dyDescent="0.3">
      <c r="A114" s="32"/>
      <c r="B114" s="34"/>
      <c r="C114" s="139" t="s">
        <v>196</v>
      </c>
      <c r="D114" s="140"/>
      <c r="E114" s="140"/>
      <c r="F114" s="141"/>
      <c r="G114" s="83">
        <f>IF(D7="Old Tax Regime",0,IF(D7="New Tax Regime",IF(P83&lt;=5000000,0,IF(P83&lt;=10000000,P83-5000000,IF(P83&lt;=20000000,P83-10000000,IF(P83&lt;=50000000,P83-20000000,P83-50000000))))))</f>
        <v>15000</v>
      </c>
      <c r="H114" s="36"/>
      <c r="I114" s="154"/>
      <c r="J114" s="154"/>
      <c r="K114" s="34"/>
      <c r="L114" s="139" t="s">
        <v>196</v>
      </c>
      <c r="M114" s="140"/>
      <c r="N114" s="140"/>
      <c r="O114" s="141"/>
      <c r="P114" s="83">
        <f>IF(D7="New Tax Regime",0,IF(D7="Old Tax Regime",IF(P83&lt;=5000000,0,IF(P83&lt;=10000000,P83-5000000,IF(P83&lt;=20000000,P83-10000000,IF(P83&lt;=50000000,P83-20000000,P83-50000000))))))</f>
        <v>0</v>
      </c>
      <c r="Q114" s="39"/>
      <c r="S114" s="69"/>
    </row>
    <row r="115" spans="1:20" s="66" customFormat="1" ht="19.95" customHeight="1" x14ac:dyDescent="0.3">
      <c r="A115" s="32"/>
      <c r="B115" s="34"/>
      <c r="C115" s="139" t="s">
        <v>197</v>
      </c>
      <c r="D115" s="140"/>
      <c r="E115" s="140"/>
      <c r="F115" s="141"/>
      <c r="G115" s="83">
        <f>IF(G113=0,0,IF(G113&gt;0,MAX(0,G109-(G113+G114))))</f>
        <v>97950</v>
      </c>
      <c r="H115" s="36"/>
      <c r="I115" s="154"/>
      <c r="J115" s="154"/>
      <c r="K115" s="34"/>
      <c r="L115" s="139" t="s">
        <v>197</v>
      </c>
      <c r="M115" s="140"/>
      <c r="N115" s="140"/>
      <c r="O115" s="141"/>
      <c r="P115" s="36">
        <f ca="1">IF(P113=0,0,IF(P113&gt;0,MAX(0,P109-(P113+P114))))</f>
        <v>0</v>
      </c>
      <c r="Q115" s="39"/>
      <c r="S115" s="69"/>
    </row>
    <row r="116" spans="1:20" s="66" customFormat="1" ht="19.95" customHeight="1" x14ac:dyDescent="0.3">
      <c r="A116" s="32"/>
      <c r="B116" s="34">
        <v>11</v>
      </c>
      <c r="C116" s="139" t="s">
        <v>198</v>
      </c>
      <c r="D116" s="140"/>
      <c r="E116" s="140"/>
      <c r="F116" s="140"/>
      <c r="G116" s="141"/>
      <c r="H116" s="36">
        <f>G108-G115</f>
        <v>10500</v>
      </c>
      <c r="I116" s="154"/>
      <c r="J116" s="154"/>
      <c r="K116" s="34">
        <v>8</v>
      </c>
      <c r="L116" s="139" t="s">
        <v>198</v>
      </c>
      <c r="M116" s="140"/>
      <c r="N116" s="140"/>
      <c r="O116" s="140"/>
      <c r="P116" s="141"/>
      <c r="Q116" s="36">
        <f ca="1">P108-P115</f>
        <v>0</v>
      </c>
      <c r="S116" s="68"/>
      <c r="T116" s="74"/>
    </row>
    <row r="117" spans="1:20" ht="19.95" customHeight="1" x14ac:dyDescent="0.3">
      <c r="A117" s="40"/>
      <c r="B117" s="34">
        <v>12</v>
      </c>
      <c r="C117" s="136" t="s">
        <v>165</v>
      </c>
      <c r="D117" s="137"/>
      <c r="E117" s="137"/>
      <c r="F117" s="137"/>
      <c r="G117" s="138"/>
      <c r="H117" s="39">
        <f>G106-G107+H116</f>
        <v>1095000</v>
      </c>
      <c r="I117" s="154"/>
      <c r="J117" s="154"/>
      <c r="K117" s="34">
        <v>9</v>
      </c>
      <c r="L117" s="136" t="s">
        <v>165</v>
      </c>
      <c r="M117" s="137"/>
      <c r="N117" s="137"/>
      <c r="O117" s="137"/>
      <c r="P117" s="138"/>
      <c r="Q117" s="39">
        <f ca="1">P106-P107+Q116</f>
        <v>0</v>
      </c>
      <c r="S117" s="75"/>
    </row>
    <row r="118" spans="1:20" ht="19.95" customHeight="1" x14ac:dyDescent="0.3">
      <c r="A118" s="40"/>
      <c r="B118" s="34">
        <v>13</v>
      </c>
      <c r="C118" s="139" t="s">
        <v>166</v>
      </c>
      <c r="D118" s="140"/>
      <c r="E118" s="140"/>
      <c r="F118" s="140"/>
      <c r="G118" s="141"/>
      <c r="H118" s="36">
        <f>ROUND(H117*4%,)</f>
        <v>43800</v>
      </c>
      <c r="I118" s="154"/>
      <c r="J118" s="154"/>
      <c r="K118" s="34">
        <v>10</v>
      </c>
      <c r="L118" s="139" t="s">
        <v>166</v>
      </c>
      <c r="M118" s="140"/>
      <c r="N118" s="140"/>
      <c r="O118" s="140"/>
      <c r="P118" s="141"/>
      <c r="Q118" s="36">
        <f ca="1">ROUND(Q117*4%,)</f>
        <v>0</v>
      </c>
      <c r="S118" s="75"/>
    </row>
    <row r="119" spans="1:20" ht="19.95" customHeight="1" x14ac:dyDescent="0.3">
      <c r="A119" s="40"/>
      <c r="B119" s="34">
        <v>14</v>
      </c>
      <c r="C119" s="136" t="s">
        <v>167</v>
      </c>
      <c r="D119" s="137"/>
      <c r="E119" s="137"/>
      <c r="F119" s="137"/>
      <c r="G119" s="138"/>
      <c r="H119" s="38">
        <f>SUM(H117:H118)</f>
        <v>1138800</v>
      </c>
      <c r="I119" s="154"/>
      <c r="J119" s="154"/>
      <c r="K119" s="34">
        <v>11</v>
      </c>
      <c r="L119" s="136" t="s">
        <v>167</v>
      </c>
      <c r="M119" s="137"/>
      <c r="N119" s="137"/>
      <c r="O119" s="137"/>
      <c r="P119" s="138"/>
      <c r="Q119" s="38">
        <f ca="1">SUM(Q117:Q118)</f>
        <v>0</v>
      </c>
      <c r="S119" s="80"/>
    </row>
  </sheetData>
  <sheetProtection algorithmName="SHA-512" hashValue="bu81Ar7nSln1jsqC2St0UThTNDZ1U7mLvBKk+m2tbL1Knqx7BpW/QTpNGpF83MpwralHZAeokDmqp05OF9ARsg==" saltValue="dEOtUVdIJF0InVcazGeJmw==" spinCount="100000" sheet="1" formatCells="0" selectLockedCells="1"/>
  <mergeCells count="342">
    <mergeCell ref="P43:Q43"/>
    <mergeCell ref="P44:Q44"/>
    <mergeCell ref="P46:Q46"/>
    <mergeCell ref="P47:Q47"/>
    <mergeCell ref="G106:H106"/>
    <mergeCell ref="G107:H107"/>
    <mergeCell ref="L112:O112"/>
    <mergeCell ref="C117:G117"/>
    <mergeCell ref="C118:G118"/>
    <mergeCell ref="P89:Q89"/>
    <mergeCell ref="P90:Q90"/>
    <mergeCell ref="P91:Q91"/>
    <mergeCell ref="P92:Q92"/>
    <mergeCell ref="P93:Q93"/>
    <mergeCell ref="P94:Q94"/>
    <mergeCell ref="P95:Q95"/>
    <mergeCell ref="P98:Q98"/>
    <mergeCell ref="P65:Q65"/>
    <mergeCell ref="P66:Q66"/>
    <mergeCell ref="P67:Q67"/>
    <mergeCell ref="P78:Q78"/>
    <mergeCell ref="P79:Q79"/>
    <mergeCell ref="P80:Q80"/>
    <mergeCell ref="P83:Q83"/>
    <mergeCell ref="C119:G119"/>
    <mergeCell ref="L116:P116"/>
    <mergeCell ref="L117:P117"/>
    <mergeCell ref="L118:P118"/>
    <mergeCell ref="L119:P119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P99:Q99"/>
    <mergeCell ref="P100:Q100"/>
    <mergeCell ref="P101:Q101"/>
    <mergeCell ref="P102:Q102"/>
    <mergeCell ref="P103:Q103"/>
    <mergeCell ref="P104:Q104"/>
    <mergeCell ref="P105:Q105"/>
    <mergeCell ref="P106:Q106"/>
    <mergeCell ref="P107:Q107"/>
    <mergeCell ref="P97:Q97"/>
    <mergeCell ref="P84:Q84"/>
    <mergeCell ref="P85:Q85"/>
    <mergeCell ref="P56:Q56"/>
    <mergeCell ref="P57:Q57"/>
    <mergeCell ref="P58:Q58"/>
    <mergeCell ref="P59:Q59"/>
    <mergeCell ref="P60:Q60"/>
    <mergeCell ref="P61:Q61"/>
    <mergeCell ref="P62:Q62"/>
    <mergeCell ref="P63:Q63"/>
    <mergeCell ref="P64:Q64"/>
    <mergeCell ref="P45:Q45"/>
    <mergeCell ref="P48:Q48"/>
    <mergeCell ref="P49:Q49"/>
    <mergeCell ref="P50:Q50"/>
    <mergeCell ref="P51:Q51"/>
    <mergeCell ref="P52:Q52"/>
    <mergeCell ref="P53:Q53"/>
    <mergeCell ref="P54:Q54"/>
    <mergeCell ref="P55:Q55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L108:N108"/>
    <mergeCell ref="L109:O109"/>
    <mergeCell ref="L110:O110"/>
    <mergeCell ref="L111:O111"/>
    <mergeCell ref="L113:O113"/>
    <mergeCell ref="L114:O114"/>
    <mergeCell ref="L115:O115"/>
    <mergeCell ref="P2:Q2"/>
    <mergeCell ref="P3:Q3"/>
    <mergeCell ref="P4:Q4"/>
    <mergeCell ref="P5:Q5"/>
    <mergeCell ref="P6:Q6"/>
    <mergeCell ref="P8:Q8"/>
    <mergeCell ref="P9:Q9"/>
    <mergeCell ref="P10:Q10"/>
    <mergeCell ref="P11:Q11"/>
    <mergeCell ref="P12:Q12"/>
    <mergeCell ref="P13:Q13"/>
    <mergeCell ref="P14:Q14"/>
    <mergeCell ref="P21:Q21"/>
    <mergeCell ref="P22:Q22"/>
    <mergeCell ref="P23:Q23"/>
    <mergeCell ref="P24:Q24"/>
    <mergeCell ref="B84:M84"/>
    <mergeCell ref="C110:F110"/>
    <mergeCell ref="C111:F111"/>
    <mergeCell ref="C112:F112"/>
    <mergeCell ref="C113:F113"/>
    <mergeCell ref="C114:F114"/>
    <mergeCell ref="C115:F115"/>
    <mergeCell ref="C116:G116"/>
    <mergeCell ref="L100:N100"/>
    <mergeCell ref="B85:M85"/>
    <mergeCell ref="C98:E98"/>
    <mergeCell ref="N95:O95"/>
    <mergeCell ref="N92:O92"/>
    <mergeCell ref="N94:O94"/>
    <mergeCell ref="C103:E103"/>
    <mergeCell ref="L103:N103"/>
    <mergeCell ref="C104:E104"/>
    <mergeCell ref="C105:E105"/>
    <mergeCell ref="L102:N102"/>
    <mergeCell ref="L104:N104"/>
    <mergeCell ref="C108:E108"/>
    <mergeCell ref="C109:F109"/>
    <mergeCell ref="I96:J119"/>
    <mergeCell ref="B96:H96"/>
    <mergeCell ref="C106:F106"/>
    <mergeCell ref="D7:E7"/>
    <mergeCell ref="L106:O106"/>
    <mergeCell ref="L107:O107"/>
    <mergeCell ref="B92:M92"/>
    <mergeCell ref="B91:M91"/>
    <mergeCell ref="L99:N99"/>
    <mergeCell ref="B72:I72"/>
    <mergeCell ref="J72:K72"/>
    <mergeCell ref="N79:O79"/>
    <mergeCell ref="N80:O80"/>
    <mergeCell ref="B73:K73"/>
    <mergeCell ref="B74:K74"/>
    <mergeCell ref="B75:K75"/>
    <mergeCell ref="B76:K76"/>
    <mergeCell ref="B77:K77"/>
    <mergeCell ref="N76:O76"/>
    <mergeCell ref="N77:O77"/>
    <mergeCell ref="N78:O78"/>
    <mergeCell ref="B59:L59"/>
    <mergeCell ref="K96:Q96"/>
    <mergeCell ref="B95:M95"/>
    <mergeCell ref="B94:M94"/>
    <mergeCell ref="B93:M93"/>
    <mergeCell ref="C97:E97"/>
    <mergeCell ref="B88:M88"/>
    <mergeCell ref="B87:M87"/>
    <mergeCell ref="N89:O89"/>
    <mergeCell ref="N90:O90"/>
    <mergeCell ref="N84:O84"/>
    <mergeCell ref="N85:O85"/>
    <mergeCell ref="N86:O86"/>
    <mergeCell ref="N87:O87"/>
    <mergeCell ref="N88:O88"/>
    <mergeCell ref="B86:L86"/>
    <mergeCell ref="P87:Q87"/>
    <mergeCell ref="P88:Q88"/>
    <mergeCell ref="N91:O91"/>
    <mergeCell ref="N93:O93"/>
    <mergeCell ref="B67:L67"/>
    <mergeCell ref="N67:O67"/>
    <mergeCell ref="B71:I71"/>
    <mergeCell ref="J71:K71"/>
    <mergeCell ref="B82:K82"/>
    <mergeCell ref="N73:O73"/>
    <mergeCell ref="N74:O74"/>
    <mergeCell ref="N75:O75"/>
    <mergeCell ref="B83:M83"/>
    <mergeCell ref="B78:K78"/>
    <mergeCell ref="N81:O81"/>
    <mergeCell ref="B80:L80"/>
    <mergeCell ref="N82:O82"/>
    <mergeCell ref="N83:O83"/>
    <mergeCell ref="B70:K70"/>
    <mergeCell ref="B81:I81"/>
    <mergeCell ref="J81:K81"/>
    <mergeCell ref="B79:K79"/>
    <mergeCell ref="B90:M90"/>
    <mergeCell ref="B89:M89"/>
    <mergeCell ref="N53:O53"/>
    <mergeCell ref="N48:O48"/>
    <mergeCell ref="N68:O68"/>
    <mergeCell ref="N69:O69"/>
    <mergeCell ref="N70:O70"/>
    <mergeCell ref="N71:O71"/>
    <mergeCell ref="N72:O72"/>
    <mergeCell ref="N50:O50"/>
    <mergeCell ref="N51:O51"/>
    <mergeCell ref="N52:O52"/>
    <mergeCell ref="N66:O66"/>
    <mergeCell ref="N63:O63"/>
    <mergeCell ref="N64:O64"/>
    <mergeCell ref="N54:O54"/>
    <mergeCell ref="N55:O55"/>
    <mergeCell ref="N56:O56"/>
    <mergeCell ref="N57:O57"/>
    <mergeCell ref="N58:O58"/>
    <mergeCell ref="N59:O59"/>
    <mergeCell ref="N60:O60"/>
    <mergeCell ref="N61:O61"/>
    <mergeCell ref="N62:O62"/>
    <mergeCell ref="N65:O65"/>
    <mergeCell ref="N41:O41"/>
    <mergeCell ref="N46:O46"/>
    <mergeCell ref="N47:O47"/>
    <mergeCell ref="N49:O49"/>
    <mergeCell ref="N42:O42"/>
    <mergeCell ref="N43:O43"/>
    <mergeCell ref="N44:O44"/>
    <mergeCell ref="N36:O36"/>
    <mergeCell ref="N37:O37"/>
    <mergeCell ref="N38:O38"/>
    <mergeCell ref="N39:O39"/>
    <mergeCell ref="N40:O40"/>
    <mergeCell ref="N45:O45"/>
    <mergeCell ref="B25:L25"/>
    <mergeCell ref="N23:O23"/>
    <mergeCell ref="N24:O24"/>
    <mergeCell ref="N25:O25"/>
    <mergeCell ref="N26:O26"/>
    <mergeCell ref="N27:O27"/>
    <mergeCell ref="N28:O28"/>
    <mergeCell ref="N29:O29"/>
    <mergeCell ref="N30:O30"/>
    <mergeCell ref="B55:L55"/>
    <mergeCell ref="B54:L54"/>
    <mergeCell ref="B53:L53"/>
    <mergeCell ref="B52:L52"/>
    <mergeCell ref="F3:H3"/>
    <mergeCell ref="F4:H4"/>
    <mergeCell ref="F5:H5"/>
    <mergeCell ref="F6:H6"/>
    <mergeCell ref="N22:O22"/>
    <mergeCell ref="B40:L40"/>
    <mergeCell ref="B32:L32"/>
    <mergeCell ref="B33:L33"/>
    <mergeCell ref="B34:L34"/>
    <mergeCell ref="B28:L28"/>
    <mergeCell ref="B29:L29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  <mergeCell ref="B11:L11"/>
    <mergeCell ref="N11:O11"/>
    <mergeCell ref="J6:K6"/>
    <mergeCell ref="B44:L44"/>
    <mergeCell ref="B35:L35"/>
    <mergeCell ref="B36:L36"/>
    <mergeCell ref="B37:L37"/>
    <mergeCell ref="B38:L38"/>
    <mergeCell ref="B39:L39"/>
    <mergeCell ref="B41:L41"/>
    <mergeCell ref="B42:L42"/>
    <mergeCell ref="B43:L43"/>
    <mergeCell ref="N15:O15"/>
    <mergeCell ref="N16:O16"/>
    <mergeCell ref="N17:O17"/>
    <mergeCell ref="N18:O18"/>
    <mergeCell ref="N19:O19"/>
    <mergeCell ref="N20:O20"/>
    <mergeCell ref="N31:O31"/>
    <mergeCell ref="N21:O21"/>
    <mergeCell ref="N32:O32"/>
    <mergeCell ref="N33:O33"/>
    <mergeCell ref="N34:O34"/>
    <mergeCell ref="N35:O35"/>
    <mergeCell ref="L2:O2"/>
    <mergeCell ref="B8:L8"/>
    <mergeCell ref="B9:L9"/>
    <mergeCell ref="B10:L10"/>
    <mergeCell ref="N8:O8"/>
    <mergeCell ref="B12:L12"/>
    <mergeCell ref="B13:L13"/>
    <mergeCell ref="B14:L14"/>
    <mergeCell ref="A4:B4"/>
    <mergeCell ref="A5:B5"/>
    <mergeCell ref="A6:B6"/>
    <mergeCell ref="A7:B7"/>
    <mergeCell ref="A3:B3"/>
    <mergeCell ref="A2:B2"/>
    <mergeCell ref="F7:Q7"/>
    <mergeCell ref="D2:K2"/>
    <mergeCell ref="J3:K3"/>
    <mergeCell ref="J4:K4"/>
    <mergeCell ref="J5:K5"/>
    <mergeCell ref="N13:O13"/>
    <mergeCell ref="N14:O14"/>
    <mergeCell ref="N9:O9"/>
    <mergeCell ref="N10:O10"/>
    <mergeCell ref="N12:O12"/>
    <mergeCell ref="B26:L26"/>
    <mergeCell ref="B27:L27"/>
    <mergeCell ref="B30:L30"/>
    <mergeCell ref="B31:L31"/>
    <mergeCell ref="B15:L15"/>
    <mergeCell ref="B45:L45"/>
    <mergeCell ref="B48:L48"/>
    <mergeCell ref="B68:K68"/>
    <mergeCell ref="B69:K69"/>
    <mergeCell ref="B66:L66"/>
    <mergeCell ref="B64:L64"/>
    <mergeCell ref="B63:L63"/>
    <mergeCell ref="B62:L62"/>
    <mergeCell ref="B61:L61"/>
    <mergeCell ref="B60:L60"/>
    <mergeCell ref="B65:L65"/>
    <mergeCell ref="B58:L58"/>
    <mergeCell ref="B46:L46"/>
    <mergeCell ref="B47:L47"/>
    <mergeCell ref="B51:L51"/>
    <mergeCell ref="B50:L50"/>
    <mergeCell ref="B49:L49"/>
    <mergeCell ref="B57:L57"/>
    <mergeCell ref="B56:L56"/>
    <mergeCell ref="C107:F107"/>
    <mergeCell ref="C102:E102"/>
    <mergeCell ref="L101:N101"/>
    <mergeCell ref="L105:N105"/>
    <mergeCell ref="C99:E99"/>
    <mergeCell ref="C100:E100"/>
    <mergeCell ref="C101:E101"/>
    <mergeCell ref="L97:N97"/>
    <mergeCell ref="L98:N98"/>
  </mergeCells>
  <conditionalFormatting sqref="E4">
    <cfRule type="containsText" dxfId="1" priority="1" operator="containsText" text="S. S. Citizen">
      <formula>NOT(ISERROR(SEARCH("S. S. Citizen",E4)))</formula>
    </cfRule>
    <cfRule type="containsText" dxfId="0" priority="2" operator="containsText" text="Senior Citizen">
      <formula>NOT(ISERROR(SEARCH("Senior Citizen",E4)))</formula>
    </cfRule>
  </conditionalFormatting>
  <dataValidations disablePrompts="1" count="7">
    <dataValidation type="list" allowBlank="1" showInputMessage="1" showErrorMessage="1" sqref="J71:K71 J81:K81" xr:uid="{00000000-0002-0000-0000-000000000000}">
      <formula1>"Others, Severe Disability"</formula1>
    </dataValidation>
    <dataValidation type="list" allowBlank="1" showInputMessage="1" showErrorMessage="1" sqref="J72:K72" xr:uid="{00000000-0002-0000-0000-000001000000}">
      <formula1>"Others, Senior Citizen, Very Senior Citizen"</formula1>
    </dataValidation>
    <dataValidation type="list" allowBlank="1" showInputMessage="1" showErrorMessage="1" sqref="M6 M4" xr:uid="{00000000-0002-0000-0000-000002000000}">
      <formula1>"Apr, May, Jun, Jul, Aug, Sep, Oct, Nov, Dec, Jan, Feb, Mar"</formula1>
    </dataValidation>
    <dataValidation type="list" allowBlank="1" showInputMessage="1" showErrorMessage="1" sqref="L78:L79" xr:uid="{00000000-0002-0000-0000-000003000000}">
      <formula1>"Others, Senior Citizen, Both"</formula1>
    </dataValidation>
    <dataValidation type="list" allowBlank="1" showInputMessage="1" showErrorMessage="1" sqref="N6 N4" xr:uid="{00000000-0002-0000-0000-000004000000}">
      <formula1>"2025, 2026"</formula1>
    </dataValidation>
    <dataValidation type="list" allowBlank="1" showInputMessage="1" showErrorMessage="1" sqref="D4" xr:uid="{00000000-0002-0000-0000-000005000000}">
      <formula1>"Male, Female"</formula1>
    </dataValidation>
    <dataValidation type="list" allowBlank="1" showInputMessage="1" showErrorMessage="1" sqref="D7:E7" xr:uid="{00000000-0002-0000-0000-000006000000}">
      <formula1>"New Tax Regime, Old Tax Regime"</formula1>
    </dataValidation>
  </dataValidations>
  <pageMargins left="0.46" right="0.28000000000000003" top="0.39" bottom="0.36" header="0.19" footer="0.11811023622047245"/>
  <pageSetup paperSize="9" scale="44" orientation="portrait" r:id="rId1"/>
  <headerFooter>
    <oddHeader>&amp;CCreated By: Dhananjay Kumar Mishra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Q17"/>
  <sheetViews>
    <sheetView view="pageBreakPreview" zoomScaleNormal="100" zoomScaleSheetLayoutView="100" workbookViewId="0">
      <pane ySplit="6" topLeftCell="A7" activePane="bottomLeft" state="frozen"/>
      <selection pane="bottomLeft" activeCell="E20" sqref="E20"/>
    </sheetView>
  </sheetViews>
  <sheetFormatPr defaultColWidth="8.88671875" defaultRowHeight="14.4" x14ac:dyDescent="0.3"/>
  <cols>
    <col min="1" max="1" width="8.88671875" style="66"/>
    <col min="2" max="2" width="24.33203125" style="66" bestFit="1" customWidth="1"/>
    <col min="3" max="3" width="4.5546875" style="66" bestFit="1" customWidth="1"/>
    <col min="4" max="15" width="9" style="66" bestFit="1" customWidth="1"/>
    <col min="16" max="16" width="13.44140625" style="66" bestFit="1" customWidth="1"/>
    <col min="17" max="16384" width="8.88671875" style="66"/>
  </cols>
  <sheetData>
    <row r="1" spans="2:17" ht="25.8" x14ac:dyDescent="0.3">
      <c r="B1" s="177" t="s">
        <v>25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/>
    </row>
    <row r="2" spans="2:17" ht="19.95" customHeight="1" x14ac:dyDescent="0.3">
      <c r="B2" s="51" t="s">
        <v>179</v>
      </c>
      <c r="C2" s="50" t="s">
        <v>183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6"/>
    </row>
    <row r="3" spans="2:17" ht="19.95" customHeight="1" x14ac:dyDescent="0.3">
      <c r="B3" s="51" t="s">
        <v>86</v>
      </c>
      <c r="C3" s="181" t="str">
        <f>'Income Tax Computation'!D2</f>
        <v>ABC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2"/>
    </row>
    <row r="4" spans="2:17" ht="19.95" customHeight="1" x14ac:dyDescent="0.3">
      <c r="B4" s="51" t="s">
        <v>73</v>
      </c>
      <c r="C4" s="181" t="str">
        <f>'Income Tax Computation'!D3</f>
        <v>12345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2"/>
    </row>
    <row r="5" spans="2:17" ht="19.95" customHeight="1" x14ac:dyDescent="0.3">
      <c r="B5" s="51" t="s">
        <v>159</v>
      </c>
      <c r="C5" s="181" t="str">
        <f>'Income Tax Computation'!J3</f>
        <v>ABCPM1234G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2"/>
    </row>
    <row r="6" spans="2:17" ht="19.95" customHeight="1" x14ac:dyDescent="0.3">
      <c r="B6" s="51" t="s">
        <v>160</v>
      </c>
      <c r="C6" s="181" t="s">
        <v>189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2"/>
    </row>
    <row r="7" spans="2:17" ht="19.95" customHeight="1" x14ac:dyDescent="0.3">
      <c r="B7" s="5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52"/>
    </row>
    <row r="8" spans="2:17" ht="19.95" customHeight="1" x14ac:dyDescent="0.3">
      <c r="B8" s="183" t="s">
        <v>5</v>
      </c>
      <c r="C8" s="183"/>
      <c r="D8" s="64">
        <v>45748</v>
      </c>
      <c r="E8" s="64">
        <v>45778</v>
      </c>
      <c r="F8" s="64">
        <v>45809</v>
      </c>
      <c r="G8" s="64">
        <v>45839</v>
      </c>
      <c r="H8" s="64">
        <v>45870</v>
      </c>
      <c r="I8" s="64">
        <v>45901</v>
      </c>
      <c r="J8" s="64">
        <v>45931</v>
      </c>
      <c r="K8" s="64">
        <v>45962</v>
      </c>
      <c r="L8" s="64">
        <v>45992</v>
      </c>
      <c r="M8" s="64">
        <v>46023</v>
      </c>
      <c r="N8" s="64">
        <v>46054</v>
      </c>
      <c r="O8" s="64">
        <v>46082</v>
      </c>
      <c r="P8" s="55" t="s">
        <v>155</v>
      </c>
    </row>
    <row r="9" spans="2:17" ht="19.95" customHeight="1" x14ac:dyDescent="0.3">
      <c r="B9" s="184" t="s">
        <v>153</v>
      </c>
      <c r="C9" s="184"/>
      <c r="D9" s="8">
        <v>38635</v>
      </c>
      <c r="E9" s="8">
        <v>42597</v>
      </c>
      <c r="F9" s="8">
        <f t="shared" ref="F9:O10" si="0">E9</f>
        <v>42597</v>
      </c>
      <c r="G9" s="8">
        <f t="shared" si="0"/>
        <v>42597</v>
      </c>
      <c r="H9" s="8">
        <f t="shared" si="0"/>
        <v>42597</v>
      </c>
      <c r="I9" s="8">
        <f t="shared" si="0"/>
        <v>42597</v>
      </c>
      <c r="J9" s="8">
        <f t="shared" si="0"/>
        <v>42597</v>
      </c>
      <c r="K9" s="8">
        <f t="shared" si="0"/>
        <v>42597</v>
      </c>
      <c r="L9" s="8">
        <f t="shared" si="0"/>
        <v>42597</v>
      </c>
      <c r="M9" s="8">
        <f t="shared" si="0"/>
        <v>42597</v>
      </c>
      <c r="N9" s="8">
        <f t="shared" si="0"/>
        <v>42597</v>
      </c>
      <c r="O9" s="8">
        <f t="shared" si="0"/>
        <v>42597</v>
      </c>
      <c r="P9" s="67">
        <f t="shared" ref="P9:P14" si="1">SUM(D9:O9)</f>
        <v>507202</v>
      </c>
    </row>
    <row r="10" spans="2:17" ht="19.95" customHeight="1" x14ac:dyDescent="0.3">
      <c r="B10" s="184" t="s">
        <v>154</v>
      </c>
      <c r="C10" s="184"/>
      <c r="D10" s="8">
        <v>19318</v>
      </c>
      <c r="E10" s="8">
        <v>21299</v>
      </c>
      <c r="F10" s="8">
        <f t="shared" si="0"/>
        <v>21299</v>
      </c>
      <c r="G10" s="8">
        <f t="shared" si="0"/>
        <v>21299</v>
      </c>
      <c r="H10" s="8">
        <f t="shared" si="0"/>
        <v>21299</v>
      </c>
      <c r="I10" s="8">
        <f t="shared" si="0"/>
        <v>21299</v>
      </c>
      <c r="J10" s="8">
        <f t="shared" si="0"/>
        <v>21299</v>
      </c>
      <c r="K10" s="8">
        <f t="shared" si="0"/>
        <v>21299</v>
      </c>
      <c r="L10" s="8">
        <f t="shared" si="0"/>
        <v>21299</v>
      </c>
      <c r="M10" s="8">
        <f t="shared" si="0"/>
        <v>21299</v>
      </c>
      <c r="N10" s="8">
        <f t="shared" si="0"/>
        <v>21299</v>
      </c>
      <c r="O10" s="8">
        <f t="shared" si="0"/>
        <v>21299</v>
      </c>
      <c r="P10" s="67">
        <f t="shared" si="1"/>
        <v>253607</v>
      </c>
    </row>
    <row r="11" spans="2:17" ht="19.95" customHeight="1" x14ac:dyDescent="0.3">
      <c r="B11" s="184" t="s">
        <v>156</v>
      </c>
      <c r="C11" s="184"/>
      <c r="D11" s="8">
        <v>8500</v>
      </c>
      <c r="E11" s="8">
        <f t="shared" ref="E11:O11" si="2">D11</f>
        <v>8500</v>
      </c>
      <c r="F11" s="8">
        <f t="shared" si="2"/>
        <v>8500</v>
      </c>
      <c r="G11" s="8">
        <f t="shared" si="2"/>
        <v>8500</v>
      </c>
      <c r="H11" s="8">
        <f t="shared" si="2"/>
        <v>8500</v>
      </c>
      <c r="I11" s="8">
        <f t="shared" si="2"/>
        <v>8500</v>
      </c>
      <c r="J11" s="8">
        <f t="shared" si="2"/>
        <v>8500</v>
      </c>
      <c r="K11" s="8">
        <f t="shared" si="2"/>
        <v>8500</v>
      </c>
      <c r="L11" s="8">
        <f t="shared" si="2"/>
        <v>8500</v>
      </c>
      <c r="M11" s="8">
        <f t="shared" si="2"/>
        <v>8500</v>
      </c>
      <c r="N11" s="8">
        <f t="shared" si="2"/>
        <v>8500</v>
      </c>
      <c r="O11" s="8">
        <f t="shared" si="2"/>
        <v>8500</v>
      </c>
      <c r="P11" s="67">
        <f t="shared" si="1"/>
        <v>102000</v>
      </c>
    </row>
    <row r="12" spans="2:17" ht="19.95" customHeight="1" x14ac:dyDescent="0.3">
      <c r="B12" s="184" t="s">
        <v>157</v>
      </c>
      <c r="C12" s="184"/>
      <c r="D12" s="56">
        <f>ROUND(D11-D9*10%,)</f>
        <v>4637</v>
      </c>
      <c r="E12" s="56">
        <f t="shared" ref="E12:O12" si="3">ROUND(E11-E9*10%,)</f>
        <v>4240</v>
      </c>
      <c r="F12" s="56">
        <f t="shared" si="3"/>
        <v>4240</v>
      </c>
      <c r="G12" s="56">
        <f t="shared" si="3"/>
        <v>4240</v>
      </c>
      <c r="H12" s="56">
        <f t="shared" si="3"/>
        <v>4240</v>
      </c>
      <c r="I12" s="56">
        <f t="shared" si="3"/>
        <v>4240</v>
      </c>
      <c r="J12" s="56">
        <f t="shared" si="3"/>
        <v>4240</v>
      </c>
      <c r="K12" s="56">
        <f t="shared" si="3"/>
        <v>4240</v>
      </c>
      <c r="L12" s="56">
        <f t="shared" si="3"/>
        <v>4240</v>
      </c>
      <c r="M12" s="56">
        <f t="shared" si="3"/>
        <v>4240</v>
      </c>
      <c r="N12" s="56">
        <f t="shared" si="3"/>
        <v>4240</v>
      </c>
      <c r="O12" s="56">
        <f t="shared" si="3"/>
        <v>4240</v>
      </c>
      <c r="P12" s="54">
        <f t="shared" si="1"/>
        <v>51277</v>
      </c>
    </row>
    <row r="13" spans="2:17" ht="28.8" x14ac:dyDescent="0.3">
      <c r="B13" s="53" t="s">
        <v>158</v>
      </c>
      <c r="C13" s="9">
        <v>0.4</v>
      </c>
      <c r="D13" s="56">
        <f>ROUND(D9*$C$13,)</f>
        <v>15454</v>
      </c>
      <c r="E13" s="56">
        <f t="shared" ref="E13:O13" si="4">ROUND(E9*$C$13,)</f>
        <v>17039</v>
      </c>
      <c r="F13" s="56">
        <f t="shared" si="4"/>
        <v>17039</v>
      </c>
      <c r="G13" s="56">
        <f t="shared" si="4"/>
        <v>17039</v>
      </c>
      <c r="H13" s="56">
        <f t="shared" si="4"/>
        <v>17039</v>
      </c>
      <c r="I13" s="56">
        <f t="shared" si="4"/>
        <v>17039</v>
      </c>
      <c r="J13" s="56">
        <f t="shared" si="4"/>
        <v>17039</v>
      </c>
      <c r="K13" s="56">
        <f t="shared" si="4"/>
        <v>17039</v>
      </c>
      <c r="L13" s="56">
        <f t="shared" si="4"/>
        <v>17039</v>
      </c>
      <c r="M13" s="56">
        <f t="shared" si="4"/>
        <v>17039</v>
      </c>
      <c r="N13" s="56">
        <f t="shared" si="4"/>
        <v>17039</v>
      </c>
      <c r="O13" s="56">
        <f t="shared" si="4"/>
        <v>17039</v>
      </c>
      <c r="P13" s="54">
        <f t="shared" si="1"/>
        <v>202883</v>
      </c>
    </row>
    <row r="14" spans="2:17" ht="19.95" customHeight="1" x14ac:dyDescent="0.3">
      <c r="B14" s="184" t="s">
        <v>175</v>
      </c>
      <c r="C14" s="184"/>
      <c r="D14" s="56">
        <f>IF(MIN(D9:D13)&lt;0,0,IF(MIN(D9:D13)&gt;=0,MIN(D9:D13)))</f>
        <v>4637</v>
      </c>
      <c r="E14" s="56">
        <f t="shared" ref="E14:O14" si="5">IF(MIN(E9:E13)&lt;0,0,IF(MIN(E9:E13)&gt;=0,MIN(E9:E13)))</f>
        <v>4240</v>
      </c>
      <c r="F14" s="56">
        <f t="shared" si="5"/>
        <v>4240</v>
      </c>
      <c r="G14" s="56">
        <f t="shared" si="5"/>
        <v>4240</v>
      </c>
      <c r="H14" s="56">
        <f t="shared" si="5"/>
        <v>4240</v>
      </c>
      <c r="I14" s="56">
        <f t="shared" si="5"/>
        <v>4240</v>
      </c>
      <c r="J14" s="56">
        <f t="shared" si="5"/>
        <v>4240</v>
      </c>
      <c r="K14" s="56">
        <f t="shared" si="5"/>
        <v>4240</v>
      </c>
      <c r="L14" s="56">
        <f t="shared" si="5"/>
        <v>4240</v>
      </c>
      <c r="M14" s="56">
        <f t="shared" si="5"/>
        <v>4240</v>
      </c>
      <c r="N14" s="56">
        <f t="shared" si="5"/>
        <v>4240</v>
      </c>
      <c r="O14" s="56">
        <f t="shared" si="5"/>
        <v>4240</v>
      </c>
      <c r="P14" s="54">
        <f t="shared" si="1"/>
        <v>51277</v>
      </c>
    </row>
    <row r="15" spans="2:17" ht="18" x14ac:dyDescent="0.3">
      <c r="B15" s="57"/>
      <c r="C15" s="58"/>
      <c r="D15" s="59"/>
      <c r="E15" s="59"/>
      <c r="F15" s="59"/>
      <c r="G15" s="59"/>
      <c r="H15" s="59"/>
      <c r="I15" s="59"/>
      <c r="J15" s="59"/>
      <c r="K15" s="59"/>
      <c r="L15" s="180" t="s">
        <v>25</v>
      </c>
      <c r="M15" s="180"/>
      <c r="N15" s="180"/>
      <c r="O15" s="180"/>
      <c r="P15" s="60">
        <f>ROUND(IF(C2="Yes",P14,IF(C2="No",0)),)</f>
        <v>0</v>
      </c>
      <c r="Q15" s="68"/>
    </row>
    <row r="16" spans="2:17" x14ac:dyDescent="0.3"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4:16" x14ac:dyDescent="0.3"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</sheetData>
  <sheetProtection algorithmName="SHA-512" hashValue="Wg+l2X8kGFUEuLdU51lgRlMj5k5oDnsvteKobDeRh+L9TcsHjt5MDnN03O7NQi/YdXCp3eVxDf8eKwVCSagwZw==" saltValue="mpXlbNDLwL9PGrjQVwC0Aw==" spinCount="100000" sheet="1" selectLockedCells="1"/>
  <protectedRanges>
    <protectedRange sqref="C13:C14 C2:P6 D8:O11" name="Range1"/>
  </protectedRanges>
  <mergeCells count="13">
    <mergeCell ref="B1:P1"/>
    <mergeCell ref="L15:O15"/>
    <mergeCell ref="C6:P6"/>
    <mergeCell ref="B8:C8"/>
    <mergeCell ref="B9:C9"/>
    <mergeCell ref="B10:C10"/>
    <mergeCell ref="B11:C11"/>
    <mergeCell ref="B12:C12"/>
    <mergeCell ref="C3:P3"/>
    <mergeCell ref="C4:P4"/>
    <mergeCell ref="C5:P5"/>
    <mergeCell ref="B14:C14"/>
    <mergeCell ref="D2:P2"/>
  </mergeCells>
  <dataValidations count="2">
    <dataValidation type="list" allowBlank="1" showInputMessage="1" showErrorMessage="1" sqref="C13:C14" xr:uid="{00000000-0002-0000-0100-000000000000}">
      <formula1>"40%, 50%"</formula1>
    </dataValidation>
    <dataValidation type="list" allowBlank="1" showInputMessage="1" showErrorMessage="1" sqref="C2" xr:uid="{00000000-0002-0000-0100-000001000000}">
      <formula1>"Yes, No"</formula1>
    </dataValidation>
  </dataValidations>
  <pageMargins left="0.7" right="0.7" top="0.54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4:M7"/>
  <sheetViews>
    <sheetView view="pageBreakPreview" zoomScale="80" zoomScaleNormal="90" zoomScaleSheetLayoutView="80" workbookViewId="0">
      <selection activeCell="H14" sqref="H14"/>
    </sheetView>
  </sheetViews>
  <sheetFormatPr defaultColWidth="8.88671875" defaultRowHeight="14.4" x14ac:dyDescent="0.3"/>
  <cols>
    <col min="1" max="2" width="8.88671875" style="1"/>
    <col min="3" max="3" width="30.44140625" style="1" bestFit="1" customWidth="1"/>
    <col min="4" max="4" width="9.6640625" style="2" bestFit="1" customWidth="1"/>
    <col min="5" max="5" width="12" style="2" bestFit="1" customWidth="1"/>
    <col min="6" max="6" width="13.33203125" style="1" bestFit="1" customWidth="1"/>
    <col min="7" max="7" width="21.33203125" style="1" bestFit="1" customWidth="1"/>
    <col min="8" max="8" width="41" style="1" bestFit="1" customWidth="1"/>
    <col min="9" max="9" width="18" style="1" bestFit="1" customWidth="1"/>
    <col min="10" max="10" width="15.88671875" style="1" bestFit="1" customWidth="1"/>
    <col min="11" max="11" width="19.33203125" style="1" bestFit="1" customWidth="1"/>
    <col min="12" max="12" width="18" style="1" bestFit="1" customWidth="1"/>
    <col min="13" max="13" width="18.88671875" style="1" bestFit="1" customWidth="1"/>
    <col min="14" max="16384" width="8.88671875" style="1"/>
  </cols>
  <sheetData>
    <row r="4" spans="2:13" ht="21" x14ac:dyDescent="0.3">
      <c r="C4" s="187" t="s">
        <v>84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6" spans="2:13" s="5" customFormat="1" ht="43.2" x14ac:dyDescent="0.3">
      <c r="B6" s="3" t="s">
        <v>85</v>
      </c>
      <c r="C6" s="3" t="s">
        <v>86</v>
      </c>
      <c r="D6" s="4" t="s">
        <v>87</v>
      </c>
      <c r="E6" s="4" t="s">
        <v>78</v>
      </c>
      <c r="F6" s="5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 t="s">
        <v>93</v>
      </c>
      <c r="L6" s="5" t="s">
        <v>94</v>
      </c>
      <c r="M6" s="4" t="s">
        <v>95</v>
      </c>
    </row>
    <row r="7" spans="2:13" ht="25.2" customHeight="1" x14ac:dyDescent="0.3">
      <c r="B7" s="2">
        <v>1</v>
      </c>
      <c r="C7" s="1" t="s">
        <v>96</v>
      </c>
      <c r="D7" s="2">
        <v>10100</v>
      </c>
      <c r="E7" s="2" t="s">
        <v>97</v>
      </c>
      <c r="F7" s="6">
        <v>43313</v>
      </c>
      <c r="G7" s="2" t="s">
        <v>98</v>
      </c>
      <c r="H7" s="1" t="s">
        <v>0</v>
      </c>
      <c r="I7" s="7"/>
      <c r="J7" s="7"/>
      <c r="K7" s="7"/>
      <c r="L7" s="7"/>
      <c r="M7" s="7"/>
    </row>
  </sheetData>
  <mergeCells count="1">
    <mergeCell ref="C4:M4"/>
  </mergeCells>
  <pageMargins left="0.7" right="0.7" top="0.75" bottom="0.75" header="0.3" footer="0.3"/>
  <pageSetup paperSize="9" scale="5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Tax Computation</vt:lpstr>
      <vt:lpstr>HRA</vt:lpstr>
      <vt:lpstr>Previous Employer Income</vt:lpstr>
      <vt:lpstr>HRA!Print_Area</vt:lpstr>
      <vt:lpstr>'Income Tax Computation'!Print_Area</vt:lpstr>
      <vt:lpstr>'Previous Employer Income'!Print_Area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Dhananjay</dc:creator>
  <cp:lastModifiedBy>Chaitanya Billing</cp:lastModifiedBy>
  <cp:lastPrinted>2026-01-06T04:54:32Z</cp:lastPrinted>
  <dcterms:created xsi:type="dcterms:W3CDTF">2021-04-30T16:30:29Z</dcterms:created>
  <dcterms:modified xsi:type="dcterms:W3CDTF">2026-01-06T04:57:07Z</dcterms:modified>
</cp:coreProperties>
</file>